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G:\2_ORGANICO\2_Contabilidad\Marina\Evolución 2021 para trabajar\"/>
    </mc:Choice>
  </mc:AlternateContent>
  <bookViews>
    <workbookView xWindow="480" yWindow="225" windowWidth="15600" windowHeight="11760" tabRatio="968" firstSheet="3" activeTab="3"/>
  </bookViews>
  <sheets>
    <sheet name="Riesgo efectivo 2001-10 JG" sheetId="43" state="hidden" r:id="rId1"/>
    <sheet name="Ahorro Liquidado 2002-11 " sheetId="40" state="hidden" r:id="rId2"/>
    <sheet name="Liquidado  2002-11" sheetId="39" state="hidden" r:id="rId3"/>
    <sheet name="EVOL. EE.PP.CONS.FUND.2011-20" sheetId="28" r:id="rId4"/>
    <sheet name="Evol. fondos prop 201-21" sheetId="29" r:id="rId5"/>
    <sheet name="Evol. resultados 2012-21" sheetId="30" r:id="rId6"/>
    <sheet name="Datos Tributos Cedidos" sheetId="46" state="hidden" r:id="rId7"/>
    <sheet name="Datos resul Entid CAIB" sheetId="44" state="hidden" r:id="rId8"/>
    <sheet name="Entidades CAIB fondos p" sheetId="45" state="hidden" r:id="rId9"/>
    <sheet name="Hoja2" sheetId="65" r:id="rId10"/>
  </sheets>
  <externalReferences>
    <externalReference r:id="rId11"/>
    <externalReference r:id="rId12"/>
  </externalReferences>
  <definedNames>
    <definedName name="_xlnm.Print_Area" localSheetId="1">'Ahorro Liquidado 2002-11 '!$A$1:$O$22</definedName>
    <definedName name="_xlnm.Print_Area" localSheetId="7">'Datos resul Entid CAIB'!$A$1:$H$40</definedName>
    <definedName name="_xlnm.Print_Area" localSheetId="6">'Datos Tributos Cedidos'!$A$1:$E$93</definedName>
    <definedName name="_xlnm.Print_Area" localSheetId="3">'EVOL. EE.PP.CONS.FUND.2011-20'!$A$1:$K$72</definedName>
    <definedName name="_xlnm.Print_Area" localSheetId="5">'Evol. resultados 2012-21'!$A$1:$X$34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32" i="28" l="1"/>
  <c r="G31" i="28"/>
  <c r="G30" i="28"/>
  <c r="G29" i="28"/>
  <c r="G28" i="28"/>
  <c r="G27" i="28"/>
  <c r="G26" i="28"/>
  <c r="G25" i="28"/>
  <c r="G24" i="28"/>
  <c r="G33" i="28" l="1"/>
  <c r="E103" i="46"/>
  <c r="E102" i="46"/>
  <c r="E101" i="46"/>
  <c r="E100" i="46"/>
  <c r="E98" i="46"/>
  <c r="E97" i="46"/>
  <c r="E96" i="46"/>
  <c r="E95" i="46"/>
  <c r="E93" i="46"/>
  <c r="E92" i="46"/>
  <c r="E91" i="46"/>
  <c r="E90" i="46"/>
  <c r="E87" i="46"/>
  <c r="E86" i="46"/>
  <c r="E85" i="46"/>
  <c r="E83" i="46"/>
  <c r="E82" i="46"/>
  <c r="E81" i="46"/>
  <c r="E80" i="46"/>
  <c r="E77" i="46"/>
  <c r="E76" i="46"/>
  <c r="E75" i="46"/>
  <c r="E73" i="46"/>
  <c r="E72" i="46"/>
  <c r="E71" i="46"/>
  <c r="E70" i="46"/>
  <c r="E67" i="46"/>
  <c r="E66" i="46"/>
  <c r="E65" i="46"/>
  <c r="E63" i="46"/>
  <c r="E62" i="46"/>
  <c r="E61" i="46"/>
  <c r="E60" i="46"/>
  <c r="E57" i="46"/>
  <c r="E56" i="46"/>
  <c r="E55" i="46"/>
  <c r="E53" i="46"/>
  <c r="E52" i="46"/>
  <c r="E51" i="46"/>
  <c r="E50" i="46"/>
  <c r="E48" i="46"/>
  <c r="D99" i="46"/>
  <c r="C99" i="46"/>
  <c r="E99" i="46"/>
  <c r="D94" i="46"/>
  <c r="C94" i="46"/>
  <c r="E94" i="46"/>
  <c r="D89" i="46"/>
  <c r="E89" i="46" s="1"/>
  <c r="C89" i="46"/>
  <c r="D88" i="46"/>
  <c r="D84" i="46" s="1"/>
  <c r="E84" i="46" s="1"/>
  <c r="E88" i="46"/>
  <c r="C84" i="46"/>
  <c r="D79" i="46"/>
  <c r="C79" i="46"/>
  <c r="E79" i="46"/>
  <c r="D78" i="46"/>
  <c r="E78" i="46"/>
  <c r="D74" i="46"/>
  <c r="C74" i="46"/>
  <c r="D69" i="46"/>
  <c r="C69" i="46"/>
  <c r="E69" i="46"/>
  <c r="D68" i="46"/>
  <c r="E68" i="46"/>
  <c r="C64" i="46"/>
  <c r="D59" i="46"/>
  <c r="E59" i="46" s="1"/>
  <c r="C59" i="46"/>
  <c r="D58" i="46"/>
  <c r="C58" i="46"/>
  <c r="C54" i="46" s="1"/>
  <c r="D54" i="46"/>
  <c r="E54" i="46" s="1"/>
  <c r="D49" i="46"/>
  <c r="C49" i="46"/>
  <c r="E49" i="46" s="1"/>
  <c r="D46" i="46"/>
  <c r="C46" i="46"/>
  <c r="E46" i="46"/>
  <c r="D45" i="46"/>
  <c r="C45" i="46"/>
  <c r="D44" i="46"/>
  <c r="C44" i="46"/>
  <c r="C41" i="46" s="1"/>
  <c r="D43" i="46"/>
  <c r="C43" i="46"/>
  <c r="E43" i="46"/>
  <c r="D42" i="46"/>
  <c r="C42" i="46"/>
  <c r="E42" i="46"/>
  <c r="D40" i="46"/>
  <c r="C40" i="46"/>
  <c r="E40" i="46"/>
  <c r="D39" i="46"/>
  <c r="C39" i="46"/>
  <c r="C38" i="46" s="1"/>
  <c r="D37" i="46"/>
  <c r="E37" i="46" s="1"/>
  <c r="C37" i="46"/>
  <c r="C33" i="46" s="1"/>
  <c r="D36" i="46"/>
  <c r="C36" i="46"/>
  <c r="E36" i="46"/>
  <c r="D35" i="46"/>
  <c r="C35" i="46"/>
  <c r="E35" i="46"/>
  <c r="D34" i="46"/>
  <c r="E34" i="46" s="1"/>
  <c r="C34" i="46"/>
  <c r="D32" i="46"/>
  <c r="E32" i="46" s="1"/>
  <c r="C32" i="46"/>
  <c r="D31" i="46"/>
  <c r="E31" i="46" s="1"/>
  <c r="C31" i="46"/>
  <c r="C30" i="46" s="1"/>
  <c r="D30" i="46"/>
  <c r="E30" i="46" s="1"/>
  <c r="D29" i="46"/>
  <c r="C29" i="46"/>
  <c r="E29" i="46"/>
  <c r="D28" i="46"/>
  <c r="C28" i="46"/>
  <c r="D27" i="46"/>
  <c r="E27" i="46" s="1"/>
  <c r="C27" i="46"/>
  <c r="D26" i="46"/>
  <c r="C26" i="46"/>
  <c r="C25" i="46" s="1"/>
  <c r="E26" i="46"/>
  <c r="D24" i="46"/>
  <c r="C24" i="46"/>
  <c r="E24" i="46"/>
  <c r="D23" i="46"/>
  <c r="C23" i="46"/>
  <c r="C22" i="46"/>
  <c r="D22" i="46"/>
  <c r="E22" i="46" s="1"/>
  <c r="D21" i="46"/>
  <c r="C21" i="46"/>
  <c r="E21" i="46"/>
  <c r="D20" i="46"/>
  <c r="C20" i="46"/>
  <c r="E20" i="46"/>
  <c r="D19" i="46"/>
  <c r="E19" i="46" s="1"/>
  <c r="C19" i="46"/>
  <c r="D18" i="46"/>
  <c r="D17" i="46" s="1"/>
  <c r="E17" i="46" s="1"/>
  <c r="C18" i="46"/>
  <c r="C17" i="46" s="1"/>
  <c r="E18" i="46"/>
  <c r="D16" i="46"/>
  <c r="C16" i="46"/>
  <c r="E16" i="46"/>
  <c r="D15" i="46"/>
  <c r="C15" i="46"/>
  <c r="C14" i="46"/>
  <c r="D14" i="46"/>
  <c r="E14" i="46" s="1"/>
  <c r="D13" i="46"/>
  <c r="E13" i="46" s="1"/>
  <c r="C13" i="46"/>
  <c r="D12" i="46"/>
  <c r="C12" i="46"/>
  <c r="E12" i="46" s="1"/>
  <c r="D11" i="46"/>
  <c r="C11" i="46"/>
  <c r="E11" i="46"/>
  <c r="D10" i="46"/>
  <c r="C10" i="46"/>
  <c r="C9" i="46"/>
  <c r="D8" i="46"/>
  <c r="E8" i="46" s="1"/>
  <c r="C8" i="46"/>
  <c r="C6" i="46"/>
  <c r="AB36" i="39"/>
  <c r="O21" i="40" s="1"/>
  <c r="AB35" i="39"/>
  <c r="AB37" i="39" s="1"/>
  <c r="Z36" i="39"/>
  <c r="Z35" i="39"/>
  <c r="X36" i="39"/>
  <c r="M21" i="40" s="1"/>
  <c r="X35" i="39"/>
  <c r="X37" i="39" s="1"/>
  <c r="V36" i="39"/>
  <c r="V35" i="39"/>
  <c r="T36" i="39"/>
  <c r="T35" i="39"/>
  <c r="T37" i="39" s="1"/>
  <c r="R36" i="39"/>
  <c r="R35" i="39"/>
  <c r="R37" i="39"/>
  <c r="P36" i="39"/>
  <c r="P35" i="39"/>
  <c r="P37" i="39"/>
  <c r="N36" i="39"/>
  <c r="N37" i="39" s="1"/>
  <c r="N35" i="39"/>
  <c r="L36" i="39"/>
  <c r="L35" i="39"/>
  <c r="L37" i="39" s="1"/>
  <c r="J36" i="39"/>
  <c r="J37" i="39" s="1"/>
  <c r="J35" i="39"/>
  <c r="H36" i="39"/>
  <c r="H35" i="39"/>
  <c r="H37" i="39" s="1"/>
  <c r="F36" i="39"/>
  <c r="F35" i="39"/>
  <c r="F37" i="39"/>
  <c r="D36" i="39"/>
  <c r="D35" i="39"/>
  <c r="D37" i="39" s="1"/>
  <c r="B36" i="39"/>
  <c r="B35" i="39"/>
  <c r="AB31" i="39"/>
  <c r="Z31" i="39"/>
  <c r="X31" i="39"/>
  <c r="V31" i="39"/>
  <c r="T31" i="39"/>
  <c r="R31" i="39"/>
  <c r="S31" i="39" s="1"/>
  <c r="P31" i="39"/>
  <c r="N31" i="39"/>
  <c r="L31" i="39"/>
  <c r="J31" i="39"/>
  <c r="H31" i="39"/>
  <c r="F31" i="39"/>
  <c r="D31" i="39"/>
  <c r="B31" i="39"/>
  <c r="B32" i="39" s="1"/>
  <c r="AB30" i="39"/>
  <c r="AB32" i="39" s="1"/>
  <c r="AB33" i="39" s="1"/>
  <c r="AB39" i="39" s="1"/>
  <c r="Z30" i="39"/>
  <c r="Z32" i="39"/>
  <c r="Z33" i="39" s="1"/>
  <c r="N13" i="40"/>
  <c r="X30" i="39"/>
  <c r="X32" i="39" s="1"/>
  <c r="M13" i="40"/>
  <c r="V30" i="39"/>
  <c r="V32" i="39"/>
  <c r="V33" i="39" s="1"/>
  <c r="T30" i="39"/>
  <c r="T32" i="39"/>
  <c r="R30" i="39"/>
  <c r="R32" i="39"/>
  <c r="R33" i="39" s="1"/>
  <c r="S26" i="39" s="1"/>
  <c r="P30" i="39"/>
  <c r="N30" i="39"/>
  <c r="L30" i="39"/>
  <c r="L32" i="39" s="1"/>
  <c r="J30" i="39"/>
  <c r="H30" i="39"/>
  <c r="H32" i="39" s="1"/>
  <c r="F30" i="39"/>
  <c r="F32" i="39" s="1"/>
  <c r="D30" i="39"/>
  <c r="D32" i="39"/>
  <c r="B30" i="39"/>
  <c r="AB28" i="39"/>
  <c r="Z28" i="39"/>
  <c r="X28" i="39"/>
  <c r="V28" i="39"/>
  <c r="T28" i="39"/>
  <c r="R28" i="39"/>
  <c r="S28" i="39" s="1"/>
  <c r="P28" i="39"/>
  <c r="N28" i="39"/>
  <c r="L28" i="39"/>
  <c r="J28" i="39"/>
  <c r="H28" i="39"/>
  <c r="F28" i="39"/>
  <c r="D28" i="39"/>
  <c r="B28" i="39"/>
  <c r="AB27" i="39"/>
  <c r="Z27" i="39"/>
  <c r="N21" i="40" s="1"/>
  <c r="X27" i="39"/>
  <c r="V27" i="39"/>
  <c r="T27" i="39"/>
  <c r="R27" i="39"/>
  <c r="P27" i="39"/>
  <c r="N27" i="39"/>
  <c r="L27" i="39"/>
  <c r="L29" i="39" s="1"/>
  <c r="L33" i="39" s="1"/>
  <c r="J27" i="39"/>
  <c r="H27" i="39"/>
  <c r="F27" i="39"/>
  <c r="D27" i="39"/>
  <c r="E27" i="39" s="1"/>
  <c r="B27" i="39"/>
  <c r="AB26" i="39"/>
  <c r="Z26" i="39"/>
  <c r="X26" i="39"/>
  <c r="V26" i="39"/>
  <c r="T26" i="39"/>
  <c r="R26" i="39"/>
  <c r="P26" i="39"/>
  <c r="N26" i="39"/>
  <c r="L26" i="39"/>
  <c r="J26" i="39"/>
  <c r="H26" i="39"/>
  <c r="F26" i="39"/>
  <c r="D26" i="39"/>
  <c r="B26" i="39"/>
  <c r="AB25" i="39"/>
  <c r="AB29" i="39" s="1"/>
  <c r="Z25" i="39"/>
  <c r="Z29" i="39" s="1"/>
  <c r="N6" i="40"/>
  <c r="N7" i="40" s="1"/>
  <c r="X25" i="39"/>
  <c r="V25" i="39"/>
  <c r="W25" i="39" s="1"/>
  <c r="W29" i="39" s="1"/>
  <c r="V29" i="39"/>
  <c r="L6" i="40" s="1"/>
  <c r="T25" i="39"/>
  <c r="R25" i="39"/>
  <c r="R29" i="39"/>
  <c r="P25" i="39"/>
  <c r="N25" i="39"/>
  <c r="L25" i="39"/>
  <c r="J25" i="39"/>
  <c r="J29" i="39"/>
  <c r="H25" i="39"/>
  <c r="F25" i="39"/>
  <c r="D25" i="39"/>
  <c r="D29" i="39" s="1"/>
  <c r="B25" i="39"/>
  <c r="B29" i="39" s="1"/>
  <c r="AB17" i="39"/>
  <c r="AB16" i="39"/>
  <c r="AB18" i="39" s="1"/>
  <c r="Z17" i="39"/>
  <c r="Z16" i="39"/>
  <c r="X17" i="39"/>
  <c r="X16" i="39"/>
  <c r="V17" i="39"/>
  <c r="V16" i="39"/>
  <c r="T17" i="39"/>
  <c r="T16" i="39"/>
  <c r="T18" i="39" s="1"/>
  <c r="R17" i="39"/>
  <c r="R16" i="39"/>
  <c r="R18" i="39"/>
  <c r="P17" i="39"/>
  <c r="P16" i="39"/>
  <c r="P18" i="39"/>
  <c r="N17" i="39"/>
  <c r="N16" i="39"/>
  <c r="L17" i="39"/>
  <c r="L16" i="39"/>
  <c r="L18" i="39"/>
  <c r="J17" i="39"/>
  <c r="J16" i="39"/>
  <c r="J18" i="39"/>
  <c r="H17" i="39"/>
  <c r="H18" i="39" s="1"/>
  <c r="H16" i="39"/>
  <c r="F17" i="39"/>
  <c r="F16" i="39"/>
  <c r="D17" i="39"/>
  <c r="D16" i="39"/>
  <c r="D18" i="39"/>
  <c r="B17" i="39"/>
  <c r="B16" i="39"/>
  <c r="B18" i="39"/>
  <c r="AB12" i="39"/>
  <c r="AC12" i="39" s="1"/>
  <c r="Z12" i="39"/>
  <c r="X12" i="39"/>
  <c r="V12" i="39"/>
  <c r="T12" i="39"/>
  <c r="R12" i="39"/>
  <c r="P12" i="39"/>
  <c r="N12" i="39"/>
  <c r="L12" i="39"/>
  <c r="J12" i="39"/>
  <c r="H12" i="39"/>
  <c r="F12" i="39"/>
  <c r="F13" i="39" s="1"/>
  <c r="G13" i="39" s="1"/>
  <c r="D12" i="39"/>
  <c r="D13" i="39" s="1"/>
  <c r="B12" i="39"/>
  <c r="AB11" i="39"/>
  <c r="AB13" i="39"/>
  <c r="Z11" i="39"/>
  <c r="Z13" i="39" s="1"/>
  <c r="Z14" i="39" s="1"/>
  <c r="X11" i="39"/>
  <c r="X13" i="39" s="1"/>
  <c r="M12" i="40" s="1"/>
  <c r="V11" i="39"/>
  <c r="V13" i="39"/>
  <c r="L12" i="40" s="1"/>
  <c r="T11" i="39"/>
  <c r="R11" i="39"/>
  <c r="R13" i="39"/>
  <c r="P11" i="39"/>
  <c r="P13" i="39" s="1"/>
  <c r="N11" i="39"/>
  <c r="L11" i="39"/>
  <c r="J11" i="39"/>
  <c r="J13" i="39"/>
  <c r="H11" i="39"/>
  <c r="H13" i="39"/>
  <c r="F11" i="39"/>
  <c r="D11" i="39"/>
  <c r="B11" i="39"/>
  <c r="B13" i="39" s="1"/>
  <c r="AB9" i="39"/>
  <c r="Z9" i="39"/>
  <c r="AA9" i="39" s="1"/>
  <c r="X9" i="39"/>
  <c r="V9" i="39"/>
  <c r="T9" i="39"/>
  <c r="R9" i="39"/>
  <c r="P9" i="39"/>
  <c r="N9" i="39"/>
  <c r="L9" i="39"/>
  <c r="J9" i="39"/>
  <c r="H9" i="39"/>
  <c r="F9" i="39"/>
  <c r="D9" i="39"/>
  <c r="B9" i="39"/>
  <c r="AB8" i="39"/>
  <c r="Z8" i="39"/>
  <c r="X8" i="39"/>
  <c r="V8" i="39"/>
  <c r="T8" i="39"/>
  <c r="R8" i="39"/>
  <c r="P8" i="39"/>
  <c r="N8" i="39"/>
  <c r="L8" i="39"/>
  <c r="J8" i="39"/>
  <c r="H8" i="39"/>
  <c r="F8" i="39"/>
  <c r="D8" i="39"/>
  <c r="B8" i="39"/>
  <c r="AB7" i="39"/>
  <c r="Z7" i="39"/>
  <c r="X7" i="39"/>
  <c r="V7" i="39"/>
  <c r="T7" i="39"/>
  <c r="R7" i="39"/>
  <c r="P7" i="39"/>
  <c r="P10" i="39" s="1"/>
  <c r="P14" i="39" s="1"/>
  <c r="N7" i="39"/>
  <c r="L7" i="39"/>
  <c r="J7" i="39"/>
  <c r="K7" i="39" s="1"/>
  <c r="H7" i="39"/>
  <c r="F7" i="39"/>
  <c r="D7" i="39"/>
  <c r="B7" i="39"/>
  <c r="AB6" i="39"/>
  <c r="Z6" i="39"/>
  <c r="X6" i="39"/>
  <c r="V6" i="39"/>
  <c r="T6" i="39"/>
  <c r="R6" i="39"/>
  <c r="P6" i="39"/>
  <c r="N6" i="39"/>
  <c r="L6" i="39"/>
  <c r="J6" i="39"/>
  <c r="H6" i="39"/>
  <c r="F6" i="39"/>
  <c r="D6" i="39"/>
  <c r="B6" i="39"/>
  <c r="AB5" i="39"/>
  <c r="AB10" i="39"/>
  <c r="AB14" i="39"/>
  <c r="Z5" i="39"/>
  <c r="Z10" i="39"/>
  <c r="N5" i="40" s="1"/>
  <c r="X5" i="39"/>
  <c r="X10" i="39"/>
  <c r="V5" i="39"/>
  <c r="V10" i="39"/>
  <c r="L5" i="40" s="1"/>
  <c r="T5" i="39"/>
  <c r="R5" i="39"/>
  <c r="P5" i="39"/>
  <c r="N5" i="39"/>
  <c r="L5" i="39"/>
  <c r="L10" i="39" s="1"/>
  <c r="J5" i="39"/>
  <c r="H5" i="39"/>
  <c r="F5" i="39"/>
  <c r="F10" i="39" s="1"/>
  <c r="F14" i="39" s="1"/>
  <c r="D5" i="39"/>
  <c r="D10" i="39"/>
  <c r="B5" i="39"/>
  <c r="B10" i="39" s="1"/>
  <c r="K21" i="40"/>
  <c r="J21" i="40"/>
  <c r="I21" i="40"/>
  <c r="H21" i="40"/>
  <c r="G21" i="40"/>
  <c r="F21" i="40"/>
  <c r="E21" i="40"/>
  <c r="D21" i="40"/>
  <c r="C21" i="40"/>
  <c r="B21" i="40"/>
  <c r="K17" i="40"/>
  <c r="J17" i="40"/>
  <c r="I17" i="40"/>
  <c r="H17" i="40"/>
  <c r="G17" i="40"/>
  <c r="F17" i="40"/>
  <c r="E17" i="40"/>
  <c r="D17" i="40"/>
  <c r="C17" i="40"/>
  <c r="B17" i="40"/>
  <c r="O16" i="40"/>
  <c r="O18" i="40"/>
  <c r="O19" i="40" s="1"/>
  <c r="K16" i="40"/>
  <c r="K18" i="40" s="1"/>
  <c r="K19" i="40" s="1"/>
  <c r="J16" i="40"/>
  <c r="J18" i="40" s="1"/>
  <c r="J19" i="40"/>
  <c r="I16" i="40"/>
  <c r="I18" i="40" s="1"/>
  <c r="I19" i="40" s="1"/>
  <c r="H16" i="40"/>
  <c r="H18" i="40" s="1"/>
  <c r="H19" i="40" s="1"/>
  <c r="G16" i="40"/>
  <c r="F16" i="40"/>
  <c r="F18" i="40" s="1"/>
  <c r="F19" i="40" s="1"/>
  <c r="E16" i="40"/>
  <c r="E18" i="40" s="1"/>
  <c r="D16" i="40"/>
  <c r="C16" i="40"/>
  <c r="B16" i="40"/>
  <c r="B18" i="40" s="1"/>
  <c r="B19" i="40"/>
  <c r="O13" i="40"/>
  <c r="K13" i="40"/>
  <c r="J13" i="40"/>
  <c r="I13" i="40"/>
  <c r="H13" i="40"/>
  <c r="G13" i="40"/>
  <c r="F13" i="40"/>
  <c r="E13" i="40"/>
  <c r="D13" i="40"/>
  <c r="C13" i="40"/>
  <c r="B13" i="40"/>
  <c r="O12" i="40"/>
  <c r="K12" i="40"/>
  <c r="J12" i="40"/>
  <c r="I12" i="40"/>
  <c r="H12" i="40"/>
  <c r="G12" i="40"/>
  <c r="F12" i="40"/>
  <c r="E12" i="40"/>
  <c r="D12" i="40"/>
  <c r="C12" i="40"/>
  <c r="B12" i="40"/>
  <c r="O10" i="40"/>
  <c r="O9" i="40"/>
  <c r="K6" i="40"/>
  <c r="J6" i="40"/>
  <c r="J7" i="40" s="1"/>
  <c r="J14" i="40" s="1"/>
  <c r="I6" i="40"/>
  <c r="I7" i="40" s="1"/>
  <c r="H6" i="40"/>
  <c r="G6" i="40"/>
  <c r="F6" i="40"/>
  <c r="E6" i="40"/>
  <c r="E7" i="40" s="1"/>
  <c r="E9" i="40" s="1"/>
  <c r="D6" i="40"/>
  <c r="C6" i="40"/>
  <c r="B6" i="40"/>
  <c r="B7" i="40" s="1"/>
  <c r="B9" i="40" s="1"/>
  <c r="K5" i="40"/>
  <c r="K7" i="40" s="1"/>
  <c r="K9" i="40" s="1"/>
  <c r="J5" i="40"/>
  <c r="I5" i="40"/>
  <c r="H5" i="40"/>
  <c r="G5" i="40"/>
  <c r="F5" i="40"/>
  <c r="F7" i="40"/>
  <c r="F9" i="40" s="1"/>
  <c r="E5" i="40"/>
  <c r="D5" i="40"/>
  <c r="C5" i="40"/>
  <c r="C7" i="40" s="1"/>
  <c r="C9" i="40" s="1"/>
  <c r="B5" i="40"/>
  <c r="O14" i="40"/>
  <c r="L21" i="40"/>
  <c r="V18" i="39"/>
  <c r="X18" i="39"/>
  <c r="Z18" i="39"/>
  <c r="V37" i="39"/>
  <c r="Z37" i="39"/>
  <c r="D7" i="40"/>
  <c r="D9" i="40" s="1"/>
  <c r="H7" i="40"/>
  <c r="H8" i="40"/>
  <c r="H10" i="40" s="1"/>
  <c r="G18" i="40"/>
  <c r="G19" i="40"/>
  <c r="G7" i="40"/>
  <c r="G9" i="40" s="1"/>
  <c r="J10" i="39"/>
  <c r="J14" i="39" s="1"/>
  <c r="R10" i="39"/>
  <c r="R14" i="39"/>
  <c r="N13" i="39"/>
  <c r="F29" i="39"/>
  <c r="N32" i="39"/>
  <c r="E19" i="40"/>
  <c r="E15" i="46"/>
  <c r="E23" i="46"/>
  <c r="D9" i="46"/>
  <c r="E9" i="46" s="1"/>
  <c r="D41" i="46"/>
  <c r="D64" i="46"/>
  <c r="E64" i="46"/>
  <c r="P20" i="39"/>
  <c r="Q7" i="39"/>
  <c r="Q5" i="39"/>
  <c r="X14" i="39"/>
  <c r="Y6" i="39" s="1"/>
  <c r="M5" i="40"/>
  <c r="K6" i="39"/>
  <c r="K5" i="39"/>
  <c r="L7" i="40"/>
  <c r="L8" i="40" s="1"/>
  <c r="D33" i="39"/>
  <c r="E28" i="39" s="1"/>
  <c r="S5" i="39"/>
  <c r="Y7" i="39"/>
  <c r="Y8" i="39"/>
  <c r="Y9" i="39"/>
  <c r="Q12" i="39"/>
  <c r="E29" i="39"/>
  <c r="K8" i="39"/>
  <c r="S8" i="39"/>
  <c r="K9" i="39"/>
  <c r="S9" i="39"/>
  <c r="K12" i="39"/>
  <c r="W27" i="39"/>
  <c r="AC25" i="39"/>
  <c r="AC29" i="39" s="1"/>
  <c r="K11" i="39"/>
  <c r="S11" i="39"/>
  <c r="Y11" i="39"/>
  <c r="Y13" i="39" s="1"/>
  <c r="AA11" i="39"/>
  <c r="S25" i="39"/>
  <c r="C8" i="40"/>
  <c r="C10" i="40"/>
  <c r="E14" i="40"/>
  <c r="G14" i="40"/>
  <c r="D14" i="40"/>
  <c r="D8" i="40"/>
  <c r="D10" i="40"/>
  <c r="F14" i="40"/>
  <c r="F8" i="40"/>
  <c r="F10" i="40" s="1"/>
  <c r="H9" i="40"/>
  <c r="J9" i="40"/>
  <c r="J8" i="40"/>
  <c r="J10" i="40" s="1"/>
  <c r="AA30" i="39"/>
  <c r="AA32" i="39" s="1"/>
  <c r="L10" i="40"/>
  <c r="AA13" i="39"/>
  <c r="G10" i="39"/>
  <c r="H14" i="40"/>
  <c r="M30" i="39"/>
  <c r="M28" i="39"/>
  <c r="S33" i="39"/>
  <c r="L39" i="39"/>
  <c r="N16" i="40"/>
  <c r="AA5" i="39"/>
  <c r="AA10" i="39" s="1"/>
  <c r="AA14" i="39" s="1"/>
  <c r="AA28" i="39"/>
  <c r="K10" i="39"/>
  <c r="X20" i="39"/>
  <c r="Y5" i="39"/>
  <c r="Y10" i="39" s="1"/>
  <c r="Y14" i="39" s="1"/>
  <c r="AA31" i="39"/>
  <c r="W28" i="39"/>
  <c r="AC31" i="39"/>
  <c r="AC26" i="39"/>
  <c r="G24" i="29"/>
  <c r="F24" i="30"/>
  <c r="B38" i="45"/>
  <c r="C38" i="45"/>
  <c r="D38" i="45"/>
  <c r="E38" i="45"/>
  <c r="F38" i="45"/>
  <c r="G38" i="45"/>
  <c r="H38" i="45"/>
  <c r="I38" i="45"/>
  <c r="J38" i="45"/>
  <c r="C40" i="45"/>
  <c r="B8" i="44"/>
  <c r="B9" i="44"/>
  <c r="B10" i="44"/>
  <c r="B40" i="44" s="1"/>
  <c r="B11" i="44"/>
  <c r="B12" i="44"/>
  <c r="B13" i="44"/>
  <c r="B14" i="44"/>
  <c r="B15" i="44"/>
  <c r="B16" i="44"/>
  <c r="B17" i="44"/>
  <c r="B19" i="44"/>
  <c r="B21" i="44"/>
  <c r="B22" i="44"/>
  <c r="C40" i="44"/>
  <c r="D40" i="44"/>
  <c r="E40" i="44"/>
  <c r="F40" i="44"/>
  <c r="G40" i="44"/>
  <c r="H40" i="44"/>
  <c r="F9" i="30"/>
  <c r="G9" i="30"/>
  <c r="H9" i="30"/>
  <c r="I9" i="30"/>
  <c r="G5" i="28"/>
  <c r="G6" i="28"/>
  <c r="G7" i="28"/>
  <c r="G8" i="28"/>
  <c r="G9" i="28"/>
  <c r="G10" i="28"/>
  <c r="G11" i="28"/>
  <c r="G12" i="28"/>
  <c r="G13" i="28"/>
  <c r="G14" i="28"/>
  <c r="G15" i="28"/>
  <c r="G16" i="28"/>
  <c r="G17" i="28"/>
  <c r="G18" i="28"/>
  <c r="G19" i="28"/>
  <c r="G20" i="28"/>
  <c r="G21" i="28"/>
  <c r="G22" i="28"/>
  <c r="G23" i="28"/>
  <c r="D17" i="43"/>
  <c r="E17" i="43"/>
  <c r="F17" i="43"/>
  <c r="G17" i="43"/>
  <c r="H17" i="43"/>
  <c r="I17" i="43"/>
  <c r="J17" i="43"/>
  <c r="K17" i="43"/>
  <c r="L17" i="43"/>
  <c r="M17" i="43"/>
  <c r="N9" i="40" l="1"/>
  <c r="N8" i="40"/>
  <c r="N10" i="40" s="1"/>
  <c r="I9" i="40"/>
  <c r="I14" i="40"/>
  <c r="I8" i="40"/>
  <c r="I10" i="40" s="1"/>
  <c r="D14" i="39"/>
  <c r="W33" i="39"/>
  <c r="B33" i="39"/>
  <c r="C32" i="39" s="1"/>
  <c r="N18" i="40"/>
  <c r="N19" i="40" s="1"/>
  <c r="E41" i="46"/>
  <c r="G11" i="39"/>
  <c r="G7" i="39"/>
  <c r="G8" i="39"/>
  <c r="AA8" i="39"/>
  <c r="AC5" i="39"/>
  <c r="AC10" i="39" s="1"/>
  <c r="H29" i="39"/>
  <c r="M31" i="39"/>
  <c r="M25" i="39"/>
  <c r="P32" i="39"/>
  <c r="M29" i="39"/>
  <c r="AC7" i="39"/>
  <c r="G5" i="39"/>
  <c r="AA6" i="39"/>
  <c r="Z20" i="39"/>
  <c r="M32" i="39"/>
  <c r="K14" i="40"/>
  <c r="G9" i="39"/>
  <c r="AC30" i="39"/>
  <c r="AC32" i="39" s="1"/>
  <c r="AC33" i="39" s="1"/>
  <c r="K8" i="40"/>
  <c r="K10" i="40" s="1"/>
  <c r="E25" i="39"/>
  <c r="AC8" i="39"/>
  <c r="M7" i="40"/>
  <c r="D33" i="46"/>
  <c r="E33" i="46" s="1"/>
  <c r="N10" i="39"/>
  <c r="N14" i="39" s="1"/>
  <c r="O5" i="39"/>
  <c r="X29" i="39"/>
  <c r="M6" i="40" s="1"/>
  <c r="L17" i="40"/>
  <c r="W26" i="39"/>
  <c r="J32" i="39"/>
  <c r="D39" i="39"/>
  <c r="E32" i="39"/>
  <c r="S32" i="39"/>
  <c r="G6" i="39"/>
  <c r="V39" i="39"/>
  <c r="AC6" i="39"/>
  <c r="R39" i="39"/>
  <c r="B8" i="40"/>
  <c r="B10" i="40" s="1"/>
  <c r="E8" i="40"/>
  <c r="E10" i="40" s="1"/>
  <c r="S30" i="39"/>
  <c r="E30" i="39"/>
  <c r="S27" i="39"/>
  <c r="S29" i="39" s="1"/>
  <c r="AA12" i="39"/>
  <c r="E31" i="39"/>
  <c r="V14" i="39"/>
  <c r="D25" i="46"/>
  <c r="E25" i="46" s="1"/>
  <c r="D6" i="46"/>
  <c r="E6" i="46" s="1"/>
  <c r="R20" i="39"/>
  <c r="S6" i="39"/>
  <c r="L13" i="39"/>
  <c r="L14" i="39" s="1"/>
  <c r="M5" i="39" s="1"/>
  <c r="N29" i="39"/>
  <c r="T29" i="39"/>
  <c r="T33" i="39" s="1"/>
  <c r="M26" i="39"/>
  <c r="U26" i="39"/>
  <c r="W30" i="39"/>
  <c r="W32" i="39" s="1"/>
  <c r="Z39" i="39"/>
  <c r="AA26" i="39"/>
  <c r="AC28" i="39"/>
  <c r="E39" i="46"/>
  <c r="D38" i="46"/>
  <c r="E38" i="46" s="1"/>
  <c r="E44" i="46"/>
  <c r="E74" i="46"/>
  <c r="AA27" i="39"/>
  <c r="M16" i="40"/>
  <c r="G14" i="39"/>
  <c r="AC27" i="39"/>
  <c r="M33" i="39"/>
  <c r="N17" i="40"/>
  <c r="M27" i="39"/>
  <c r="G12" i="39"/>
  <c r="W31" i="39"/>
  <c r="L9" i="40"/>
  <c r="B14" i="40"/>
  <c r="G8" i="40"/>
  <c r="G10" i="40" s="1"/>
  <c r="C14" i="40"/>
  <c r="AA25" i="39"/>
  <c r="AA29" i="39" s="1"/>
  <c r="AA33" i="39" s="1"/>
  <c r="AC11" i="39"/>
  <c r="AC13" i="39" s="1"/>
  <c r="K13" i="39"/>
  <c r="K14" i="39" s="1"/>
  <c r="S12" i="39"/>
  <c r="S13" i="39" s="1"/>
  <c r="E33" i="39"/>
  <c r="S7" i="39"/>
  <c r="B14" i="39"/>
  <c r="N12" i="40"/>
  <c r="N14" i="40" s="1"/>
  <c r="L13" i="40"/>
  <c r="L14" i="40" s="1"/>
  <c r="C18" i="40"/>
  <c r="C19" i="40" s="1"/>
  <c r="AB20" i="39"/>
  <c r="Q8" i="39"/>
  <c r="Q11" i="39"/>
  <c r="Q13" i="39" s="1"/>
  <c r="I9" i="39"/>
  <c r="Q9" i="39"/>
  <c r="F18" i="39"/>
  <c r="F20" i="39" s="1"/>
  <c r="P29" i="39"/>
  <c r="G28" i="39"/>
  <c r="F33" i="39"/>
  <c r="B37" i="39"/>
  <c r="J20" i="39"/>
  <c r="D18" i="40"/>
  <c r="D19" i="40" s="1"/>
  <c r="H10" i="39"/>
  <c r="H14" i="39" s="1"/>
  <c r="T10" i="39"/>
  <c r="T14" i="39" s="1"/>
  <c r="AA7" i="39"/>
  <c r="E11" i="39"/>
  <c r="T13" i="39"/>
  <c r="W12" i="39"/>
  <c r="E26" i="39"/>
  <c r="E58" i="46"/>
  <c r="U11" i="39"/>
  <c r="U5" i="39"/>
  <c r="I5" i="39"/>
  <c r="I6" i="39"/>
  <c r="Q6" i="39"/>
  <c r="Q10" i="39" s="1"/>
  <c r="Q14" i="39" s="1"/>
  <c r="AC9" i="39"/>
  <c r="I12" i="39"/>
  <c r="Y12" i="39"/>
  <c r="N18" i="39"/>
  <c r="X33" i="39"/>
  <c r="E10" i="46"/>
  <c r="E28" i="46"/>
  <c r="E45" i="46"/>
  <c r="Y27" i="39" l="1"/>
  <c r="Y30" i="39"/>
  <c r="Y32" i="39" s="1"/>
  <c r="X39" i="39"/>
  <c r="Y26" i="39"/>
  <c r="Y28" i="39"/>
  <c r="M17" i="40"/>
  <c r="C8" i="39"/>
  <c r="C9" i="39"/>
  <c r="C6" i="39"/>
  <c r="C11" i="39"/>
  <c r="C12" i="39"/>
  <c r="C13" i="39"/>
  <c r="C14" i="39"/>
  <c r="H33" i="39"/>
  <c r="E7" i="39"/>
  <c r="E14" i="39"/>
  <c r="E6" i="39"/>
  <c r="E5" i="39"/>
  <c r="E9" i="39"/>
  <c r="E12" i="39"/>
  <c r="C25" i="39"/>
  <c r="T20" i="39"/>
  <c r="U7" i="39"/>
  <c r="U10" i="39" s="1"/>
  <c r="U14" i="39" s="1"/>
  <c r="U9" i="39"/>
  <c r="B39" i="39"/>
  <c r="U8" i="39"/>
  <c r="U6" i="39"/>
  <c r="M18" i="40"/>
  <c r="M19" i="40" s="1"/>
  <c r="T39" i="39"/>
  <c r="U30" i="39"/>
  <c r="U32" i="39" s="1"/>
  <c r="U31" i="39"/>
  <c r="U25" i="39"/>
  <c r="U28" i="39"/>
  <c r="S10" i="39"/>
  <c r="S14" i="39" s="1"/>
  <c r="W9" i="39"/>
  <c r="L16" i="40"/>
  <c r="L18" i="40" s="1"/>
  <c r="L19" i="40" s="1"/>
  <c r="W11" i="39"/>
  <c r="W13" i="39" s="1"/>
  <c r="W7" i="39"/>
  <c r="V20" i="39"/>
  <c r="W6" i="39"/>
  <c r="W5" i="39"/>
  <c r="W10" i="39" s="1"/>
  <c r="W14" i="39" s="1"/>
  <c r="C5" i="39"/>
  <c r="J33" i="39"/>
  <c r="Y25" i="39"/>
  <c r="Y29" i="39" s="1"/>
  <c r="Y33" i="39" s="1"/>
  <c r="N20" i="39"/>
  <c r="O12" i="39"/>
  <c r="O6" i="39"/>
  <c r="O9" i="39"/>
  <c r="O11" i="39"/>
  <c r="O13" i="39" s="1"/>
  <c r="O8" i="39"/>
  <c r="O7" i="39"/>
  <c r="U12" i="39"/>
  <c r="U27" i="39"/>
  <c r="M12" i="39"/>
  <c r="U13" i="39"/>
  <c r="I7" i="39"/>
  <c r="I10" i="39" s="1"/>
  <c r="I14" i="39" s="1"/>
  <c r="I11" i="39"/>
  <c r="I13" i="39" s="1"/>
  <c r="H20" i="39"/>
  <c r="I8" i="39"/>
  <c r="G26" i="39"/>
  <c r="G31" i="39"/>
  <c r="G27" i="39"/>
  <c r="G25" i="39"/>
  <c r="G29" i="39"/>
  <c r="G30" i="39"/>
  <c r="G32" i="39"/>
  <c r="G33" i="39"/>
  <c r="F39" i="39"/>
  <c r="E8" i="39"/>
  <c r="C10" i="39"/>
  <c r="P33" i="39"/>
  <c r="Q32" i="39"/>
  <c r="AC14" i="39"/>
  <c r="C7" i="39"/>
  <c r="E13" i="39"/>
  <c r="O29" i="39"/>
  <c r="N33" i="39"/>
  <c r="B20" i="39"/>
  <c r="C33" i="39"/>
  <c r="C26" i="39"/>
  <c r="C28" i="39"/>
  <c r="C29" i="39"/>
  <c r="C30" i="39"/>
  <c r="C31" i="39"/>
  <c r="C27" i="39"/>
  <c r="M7" i="39"/>
  <c r="M8" i="39"/>
  <c r="M11" i="39"/>
  <c r="M13" i="39" s="1"/>
  <c r="M9" i="39"/>
  <c r="L20" i="39"/>
  <c r="M6" i="39"/>
  <c r="M10" i="39" s="1"/>
  <c r="M14" i="39" s="1"/>
  <c r="O10" i="39"/>
  <c r="O14" i="39" s="1"/>
  <c r="M8" i="40"/>
  <c r="M10" i="40" s="1"/>
  <c r="M9" i="40"/>
  <c r="M14" i="40"/>
  <c r="W8" i="39"/>
  <c r="E10" i="39"/>
  <c r="D20" i="39"/>
  <c r="Y31" i="39"/>
  <c r="K26" i="39" l="1"/>
  <c r="K27" i="39"/>
  <c r="K30" i="39"/>
  <c r="K25" i="39"/>
  <c r="J39" i="39"/>
  <c r="K29" i="39"/>
  <c r="K33" i="39"/>
  <c r="K28" i="39"/>
  <c r="K31" i="39"/>
  <c r="U29" i="39"/>
  <c r="U33" i="39" s="1"/>
  <c r="H39" i="39"/>
  <c r="I28" i="39"/>
  <c r="I33" i="39"/>
  <c r="I25" i="39"/>
  <c r="I26" i="39"/>
  <c r="I31" i="39"/>
  <c r="I32" i="39"/>
  <c r="I30" i="39"/>
  <c r="I27" i="39"/>
  <c r="O27" i="39"/>
  <c r="N39" i="39"/>
  <c r="O31" i="39"/>
  <c r="O32" i="39"/>
  <c r="O26" i="39"/>
  <c r="O30" i="39"/>
  <c r="O33" i="39"/>
  <c r="O28" i="39"/>
  <c r="O25" i="39"/>
  <c r="K32" i="39"/>
  <c r="Q28" i="39"/>
  <c r="P39" i="39"/>
  <c r="Q30" i="39"/>
  <c r="Q25" i="39"/>
  <c r="Q33" i="39"/>
  <c r="Q27" i="39"/>
  <c r="Q31" i="39"/>
  <c r="Q26" i="39"/>
  <c r="Q29" i="39"/>
  <c r="I29" i="39"/>
</calcChain>
</file>

<file path=xl/sharedStrings.xml><?xml version="1.0" encoding="utf-8"?>
<sst xmlns="http://schemas.openxmlformats.org/spreadsheetml/2006/main" count="295" uniqueCount="127">
  <si>
    <t>INGRESOS</t>
  </si>
  <si>
    <t>CRED. DEFINITIVO</t>
  </si>
  <si>
    <t>DERECHOS REC.</t>
  </si>
  <si>
    <t>% EJECUCION</t>
  </si>
  <si>
    <t>TOTAL</t>
  </si>
  <si>
    <t>EN MILLONES DE EUROS</t>
  </si>
  <si>
    <t>*</t>
  </si>
  <si>
    <t>RIESGO EFECTIVO DE LA CAIB POR EL ENDEUDAMIENTO DE ENTIDADES</t>
  </si>
  <si>
    <t>Deuda EEPP avalado CAIB</t>
  </si>
  <si>
    <t>Deuda EEPP no avalado</t>
  </si>
  <si>
    <t>Deuda Consorcios (1)</t>
  </si>
  <si>
    <t>Deuda UIB</t>
  </si>
  <si>
    <t>TOTAL RIESGO (*)</t>
  </si>
  <si>
    <t xml:space="preserve">(*) Riesgo efectivo asumido por la deuda viva de entidades dependientes de la CAIB </t>
  </si>
  <si>
    <t>Deuda avalada por EEPP</t>
  </si>
  <si>
    <t>DATOS DE LA LIQUIDACIÓN DEL PRESUPUESTO DE INGRESOS TRIBUTOS CEDIDOS</t>
  </si>
  <si>
    <t>LIQUIDACION INGRESOS</t>
  </si>
  <si>
    <t>%</t>
  </si>
  <si>
    <t>Impuestos directos</t>
  </si>
  <si>
    <t>Impuestos indirectos</t>
  </si>
  <si>
    <t>Tasas y otros ingresos</t>
  </si>
  <si>
    <t>Transferencias corrientes</t>
  </si>
  <si>
    <t>Ingresos patrimoniales</t>
  </si>
  <si>
    <t>Ingresos Corrientes</t>
  </si>
  <si>
    <t>Enajenación de inversiones reales</t>
  </si>
  <si>
    <t>Transferencias de Capital</t>
  </si>
  <si>
    <t>Ingresos de Capital</t>
  </si>
  <si>
    <t>Ingresos no Financieros</t>
  </si>
  <si>
    <t>Activos financieros</t>
  </si>
  <si>
    <t>Pasivos financieros</t>
  </si>
  <si>
    <t>Ingresos Operac.financieras</t>
  </si>
  <si>
    <t>Ingresos Totales</t>
  </si>
  <si>
    <t>LIQUIDACION GASTOS</t>
  </si>
  <si>
    <t>Gastos de Personal</t>
  </si>
  <si>
    <t>Compra de Bienes y Servicios</t>
  </si>
  <si>
    <t>Gastos financieros</t>
  </si>
  <si>
    <t>Gastos Corrientes</t>
  </si>
  <si>
    <t>Inversiones reales</t>
  </si>
  <si>
    <t>Transferencias de capital</t>
  </si>
  <si>
    <t>Gastos de Capital</t>
  </si>
  <si>
    <t>Gastos no Financieros</t>
  </si>
  <si>
    <t>Gastos Operac.financieras</t>
  </si>
  <si>
    <t>Gastos Totales</t>
  </si>
  <si>
    <t>Ahorro Bruto</t>
  </si>
  <si>
    <t>Ahorro Neto</t>
  </si>
  <si>
    <t>Ahorro Bruto/Ingresos Corrientes(%)</t>
  </si>
  <si>
    <t>Ahorro neto /Ingresos Corrientes (%)</t>
  </si>
  <si>
    <t>Autofinanciación de los gastos de capital</t>
  </si>
  <si>
    <t>Gastos no financieros</t>
  </si>
  <si>
    <t>Saldo no Financiero</t>
  </si>
  <si>
    <t>Saldo Primario</t>
  </si>
  <si>
    <t>Anualidad Financiera (Amort. + Ints.)</t>
  </si>
  <si>
    <t>PRESUPUESTOS LIQUIDADOS</t>
  </si>
  <si>
    <t>Millones de Euros</t>
  </si>
  <si>
    <t>Ahorro y Saldo no financiero de la CAIB (Presupuesto Liquidado)</t>
  </si>
  <si>
    <t>(1) Este cuadro refleja el riesgo asumido por la CAIB de acuerdo con su participación en los consorcios (incluye consorcios de aguas, entidades SEC, consorcios Mirall, consorcios Pla D, otros organismos no SEC)</t>
  </si>
  <si>
    <t>DATOS CUADRO EVOLUCIÓN RESULTADOS ENTIDADES CAIB</t>
  </si>
  <si>
    <t>Institut Balear de l'Habitatge</t>
  </si>
  <si>
    <t>Entitat del Turisme de les Illes Balears Institut Balear del Turisme (hasta 2004)</t>
  </si>
  <si>
    <t>Institut Balear de Sanejament</t>
  </si>
  <si>
    <t>Institut Balear de la Natura</t>
  </si>
  <si>
    <t>Institut de Biologia Animal de Balears</t>
  </si>
  <si>
    <t>Institut d'Innovació Empresarial de les IB</t>
  </si>
  <si>
    <t>Servei de Millora Agrària, SA</t>
  </si>
  <si>
    <t>Serveis Ferroviaris de Mallorca</t>
  </si>
  <si>
    <t>Fires i Congressos de Balears, SA</t>
  </si>
  <si>
    <t>GESMA</t>
  </si>
  <si>
    <t>ParcBit Desenvolupament, SA</t>
  </si>
  <si>
    <t>Institut Balear de L'Aigua i (la Energia) del Litoral (2005)</t>
  </si>
  <si>
    <t>Balears Innovació Telemàtica, SA</t>
  </si>
  <si>
    <t>Servei d'Informació Territorial</t>
  </si>
  <si>
    <t>Diversitat 21</t>
  </si>
  <si>
    <t>---</t>
  </si>
  <si>
    <t>CAIB Patrimoni, SA</t>
  </si>
  <si>
    <t>Institut d'Estratègia Turística</t>
  </si>
  <si>
    <t>Televisió de les Illes Balears, SA</t>
  </si>
  <si>
    <t>Ràdio de les Illes Balears, SA</t>
  </si>
  <si>
    <t>Ens Públic de Radiotelevisió de les IB</t>
  </si>
  <si>
    <t>Institut d'Infrastructures i Serveis Educatius</t>
  </si>
  <si>
    <t>Infrastructures i Obres Portuàries, SA</t>
  </si>
  <si>
    <t>Gestió d'Emergències de les Illes Balears</t>
  </si>
  <si>
    <t>Fons de Garantia Agrària i Pesquera I.B.</t>
  </si>
  <si>
    <t>Ports de les Illes Balears S.A.</t>
  </si>
  <si>
    <t>Agencia de cooperación Internacional</t>
  </si>
  <si>
    <t>Fundación Hospital Comarcal de Inca</t>
  </si>
  <si>
    <t>Espais de Natura Balear</t>
  </si>
  <si>
    <t>Consorci de Transports de Mallorca</t>
  </si>
  <si>
    <t>Agencia Balear del Agua</t>
  </si>
  <si>
    <t>Multimedia de les Illes Balears S.A.</t>
  </si>
  <si>
    <t>Consorci Centre Balears Europa</t>
  </si>
  <si>
    <t>DATOS EVOLUCIÓN FONDOS PROPIOS ENTIDADES CUENTA GRAL CAIB</t>
  </si>
  <si>
    <t>Entitat del Turisme de les Illes Balears</t>
  </si>
  <si>
    <t>Institut Balear de L'Aigua i la Energia</t>
  </si>
  <si>
    <t>Institut Balear de Desenvolupament Industrial</t>
  </si>
  <si>
    <t>Serveis d'Aqüicultura Marina, SA</t>
  </si>
  <si>
    <t>CAIB Patrimoni</t>
  </si>
  <si>
    <t>Televisió de les Illes Balears SA</t>
  </si>
  <si>
    <t>Ràdio de les Illes Balears SA</t>
  </si>
  <si>
    <t>Ens Públic de Radiotelevisió de les IB.</t>
  </si>
  <si>
    <t>Gestió d'Emergències de les I.B.</t>
  </si>
  <si>
    <t>Fons de Garantia Agrària i Pesquera</t>
  </si>
  <si>
    <t>Agencia de cooperación internacional</t>
  </si>
  <si>
    <t>q</t>
  </si>
  <si>
    <t>Sin el Serveis d'Aqüicultura Marina SA</t>
  </si>
  <si>
    <t>Gestionados por el Estado</t>
  </si>
  <si>
    <t>100 Impuesto sobre la renta</t>
  </si>
  <si>
    <t>111 Impuesto sobre el patrimonio</t>
  </si>
  <si>
    <t>Gestionados por la CAIB</t>
  </si>
  <si>
    <t>110 Impuesto sobre sucesiones y donaciones</t>
  </si>
  <si>
    <t>200 Impuesto sobre transmisiones</t>
  </si>
  <si>
    <t>201 Impuesto sobre actos jurídicos</t>
  </si>
  <si>
    <t>300 Tasas del juego</t>
  </si>
  <si>
    <t>21 IVA</t>
  </si>
  <si>
    <t>22 Impuestos especiales</t>
  </si>
  <si>
    <r>
      <t xml:space="preserve">NOTA GENERAL: En estos cuadros se refleja el Sistema de Financiación de modo que en los totales de "Derechos Reconocidos" y en cada capítulo de ingresos figuran los cobros según su naturaleza y el Fondo de Suficiencia como gasto en el capítulo 4. En 2013 </t>
    </r>
    <r>
      <rPr>
        <sz val="10"/>
        <rFont val="Arial"/>
        <family val="2"/>
      </rPr>
      <t>los fondos negativos del sistema de financiación figuran como menor ingreso.</t>
    </r>
  </si>
  <si>
    <t>EXERCICI</t>
  </si>
  <si>
    <t>ANY</t>
  </si>
  <si>
    <t>CONSORCIS</t>
  </si>
  <si>
    <t>FUNDACIONS</t>
  </si>
  <si>
    <t>TOTAL ENS</t>
  </si>
  <si>
    <t>MILIONS €</t>
  </si>
  <si>
    <t>NOMBRE D'ENS: EPE, SMP, CONSORCIS I FUNDACIONS</t>
  </si>
  <si>
    <t>EPE/SMP</t>
  </si>
  <si>
    <t xml:space="preserve">FONS PROPIS DE LES ENTITATS INCLOSES EN EL COMPTE GENERAL </t>
  </si>
  <si>
    <t xml:space="preserve">Nombre d'entitats segons l'Inventari d'ens del Ministeri d'Hisenda. No s'hi inclouen els OA ni la UIB. </t>
  </si>
  <si>
    <t>NOTA: Les dades d'aquest estat reflecteixen només els comptes anuals de les entitats del sector públic incloses en el Compte General de l'exercici coresponent</t>
  </si>
  <si>
    <t xml:space="preserve">EVOLUCIÓ RESULTATS DE LES ENTITATS INCLOSES EN EL COMPTE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</si>
</sst>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 _P_t_s_-;\-* #,##0\ _P_t_s_-;_-* &quot;-&quot;\ _P_t_s_-;_-@_-"/>
    <numFmt numFmtId="166" formatCode="#,##0_ ;\-#,##0\ "/>
    <numFmt numFmtId="167" formatCode="#,##0.00_ ;\-#,##0.00\ "/>
    <numFmt numFmtId="168"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12"/>
      <name val="Arial"/>
      <family val="2"/>
    </font>
    <font>
      <b/>
      <sz val="14"/>
      <color indexed="32"/>
      <name val="Arial"/>
      <family val="2"/>
    </font>
    <font>
      <b/>
      <sz val="12"/>
      <color indexed="32"/>
      <name val="Arial"/>
      <family val="2"/>
    </font>
    <font>
      <b/>
      <sz val="8"/>
      <name val="Arial"/>
      <family val="2"/>
    </font>
    <font>
      <b/>
      <sz val="14"/>
      <name val="Arial"/>
      <family val="2"/>
    </font>
    <font>
      <b/>
      <sz val="12"/>
      <name val="Arial"/>
      <family val="2"/>
    </font>
    <font>
      <b/>
      <u val="double"/>
      <sz val="14"/>
      <name val="Arial"/>
      <family val="2"/>
    </font>
    <font>
      <sz val="8"/>
      <name val="Arial"/>
      <family val="2"/>
    </font>
    <font>
      <b/>
      <sz val="14"/>
      <color indexed="32"/>
      <name val="Times New Roman"/>
      <family val="1"/>
    </font>
    <font>
      <sz val="12"/>
      <name val="Times New Roman"/>
      <family val="1"/>
    </font>
    <font>
      <b/>
      <sz val="11"/>
      <name val="Arial"/>
      <family val="2"/>
    </font>
    <font>
      <b/>
      <sz val="12"/>
      <name val="Times New Roman"/>
      <family val="1"/>
    </font>
    <font>
      <sz val="6"/>
      <name val="Arial"/>
      <family val="2"/>
    </font>
    <font>
      <b/>
      <sz val="10"/>
      <name val="Arial"/>
      <family val="2"/>
    </font>
    <font>
      <b/>
      <sz val="16"/>
      <color indexed="32"/>
      <name val="Times New Roman"/>
      <family val="1"/>
    </font>
    <font>
      <sz val="9"/>
      <name val="Arial"/>
      <family val="2"/>
    </font>
    <font>
      <b/>
      <sz val="14"/>
      <name val="Times New Roman"/>
      <family val="1"/>
    </font>
    <font>
      <b/>
      <u val="double"/>
      <sz val="14"/>
      <name val="Times New Roman"/>
      <family val="1"/>
    </font>
    <font>
      <sz val="14"/>
      <name val="Times New Roman"/>
      <family val="1"/>
    </font>
    <font>
      <b/>
      <sz val="10"/>
      <name val="Times New Roman"/>
      <family val="1"/>
    </font>
    <font>
      <sz val="8"/>
      <name val="Times New Roman"/>
      <family val="1"/>
    </font>
    <font>
      <sz val="6"/>
      <name val="Times New Roman"/>
      <family val="1"/>
    </font>
    <font>
      <sz val="16"/>
      <name val="Times New Roman"/>
      <family val="1"/>
    </font>
    <font>
      <sz val="16"/>
      <color indexed="32"/>
      <name val="Times New Roman"/>
      <family val="1"/>
    </font>
    <font>
      <b/>
      <sz val="18"/>
      <color indexed="60"/>
      <name val="Arial"/>
      <family val="2"/>
    </font>
    <font>
      <sz val="10"/>
      <name val="Arial"/>
      <family val="2"/>
    </font>
    <font>
      <sz val="11"/>
      <name val="Arial"/>
      <family val="2"/>
    </font>
    <font>
      <b/>
      <sz val="16"/>
      <color indexed="62"/>
      <name val="Times New Roman"/>
      <family val="1"/>
    </font>
  </fonts>
  <fills count="6">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47"/>
        <bgColor indexed="64"/>
      </patternFill>
    </fill>
    <fill>
      <patternFill patternType="solid">
        <fgColor rgb="FFFFCC99"/>
        <bgColor indexed="64"/>
      </patternFill>
    </fill>
  </fills>
  <borders count="21">
    <border>
      <left/>
      <right/>
      <top/>
      <bottom/>
      <diagonal/>
    </border>
    <border>
      <left style="thin">
        <color auto="1"/>
      </left>
      <right/>
      <top style="thin">
        <color auto="1"/>
      </top>
      <bottom style="thin">
        <color auto="1"/>
      </bottom>
      <diagonal/>
    </border>
    <border>
      <left/>
      <right/>
      <top/>
      <bottom style="double">
        <color auto="1"/>
      </bottom>
      <diagonal/>
    </border>
    <border>
      <left/>
      <right/>
      <top style="double">
        <color auto="1"/>
      </top>
      <bottom style="double">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s>
  <cellStyleXfs count="15">
    <xf numFmtId="0" fontId="0" fillId="0" borderId="0"/>
    <xf numFmtId="0" fontId="16" fillId="0" borderId="1" applyFont="0" applyBorder="0" applyProtection="0">
      <protection locked="0"/>
    </xf>
    <xf numFmtId="0" fontId="16" fillId="0" borderId="1" applyFont="0" applyProtection="0">
      <protection locked="0"/>
    </xf>
    <xf numFmtId="0" fontId="5" fillId="0" borderId="0"/>
    <xf numFmtId="164" fontId="32"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269">
    <xf numFmtId="0" fontId="0" fillId="0" borderId="0" xfId="0"/>
    <xf numFmtId="0" fontId="8" fillId="0" borderId="0" xfId="0" applyFont="1" applyBorder="1" applyAlignment="1">
      <alignment horizontal="center"/>
    </xf>
    <xf numFmtId="0" fontId="9" fillId="0" borderId="0" xfId="0" applyFont="1" applyBorder="1" applyAlignment="1">
      <alignment horizontal="center"/>
    </xf>
    <xf numFmtId="0" fontId="7" fillId="0" borderId="0" xfId="0" applyFont="1"/>
    <xf numFmtId="0" fontId="10" fillId="0" borderId="0" xfId="0" applyFont="1" applyBorder="1" applyAlignment="1">
      <alignment horizontal="left" vertical="top" wrapText="1"/>
    </xf>
    <xf numFmtId="0" fontId="11" fillId="0" borderId="0" xfId="0" applyFont="1" applyAlignment="1">
      <alignment horizontal="centerContinuous"/>
    </xf>
    <xf numFmtId="0" fontId="11" fillId="0" borderId="0" xfId="0" applyFont="1" applyBorder="1" applyAlignment="1">
      <alignment horizontal="left" wrapText="1"/>
    </xf>
    <xf numFmtId="0" fontId="11" fillId="0" borderId="0" xfId="0" applyFont="1" applyBorder="1" applyAlignment="1">
      <alignment horizontal="right"/>
    </xf>
    <xf numFmtId="0" fontId="11" fillId="0" borderId="0" xfId="0" applyFont="1"/>
    <xf numFmtId="0" fontId="13" fillId="0" borderId="0" xfId="0" applyFont="1" applyBorder="1" applyAlignment="1">
      <alignment horizontal="right"/>
    </xf>
    <xf numFmtId="4" fontId="11" fillId="0" borderId="0" xfId="0" applyNumberFormat="1" applyFont="1" applyBorder="1" applyAlignment="1">
      <alignment horizontal="center"/>
    </xf>
    <xf numFmtId="4" fontId="11" fillId="0" borderId="0" xfId="0" applyNumberFormat="1" applyFont="1" applyAlignment="1">
      <alignment horizontal="center"/>
    </xf>
    <xf numFmtId="0" fontId="6" fillId="0" borderId="0" xfId="0" applyFont="1"/>
    <xf numFmtId="0" fontId="16" fillId="0" borderId="0" xfId="0" applyFont="1"/>
    <xf numFmtId="4" fontId="0" fillId="0" borderId="0" xfId="0" applyNumberFormat="1"/>
    <xf numFmtId="0" fontId="16" fillId="0" borderId="0" xfId="0" applyFont="1" applyBorder="1"/>
    <xf numFmtId="0" fontId="19" fillId="0" borderId="0" xfId="0" applyFont="1"/>
    <xf numFmtId="0" fontId="22"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11" fillId="0" borderId="2" xfId="0" applyFont="1" applyBorder="1"/>
    <xf numFmtId="0" fontId="23" fillId="0" borderId="0" xfId="0" applyFont="1" applyBorder="1" applyAlignment="1">
      <alignment horizontal="right"/>
    </xf>
    <xf numFmtId="0" fontId="23" fillId="0" borderId="2" xfId="0" applyFont="1" applyBorder="1"/>
    <xf numFmtId="0" fontId="24" fillId="0" borderId="2" xfId="0" applyFont="1" applyBorder="1" applyAlignment="1">
      <alignment horizontal="right"/>
    </xf>
    <xf numFmtId="0" fontId="23" fillId="0" borderId="0" xfId="0" applyFont="1" applyBorder="1"/>
    <xf numFmtId="4" fontId="23" fillId="0" borderId="0" xfId="0" applyNumberFormat="1" applyFont="1" applyBorder="1" applyAlignment="1">
      <alignment horizontal="center"/>
    </xf>
    <xf numFmtId="167" fontId="23" fillId="0" borderId="0" xfId="5" applyNumberFormat="1" applyFont="1" applyBorder="1" applyAlignment="1">
      <alignment horizontal="center"/>
    </xf>
    <xf numFmtId="0" fontId="25" fillId="0" borderId="2" xfId="0" applyFont="1" applyBorder="1"/>
    <xf numFmtId="0" fontId="23" fillId="0" borderId="0" xfId="0" applyFont="1" applyAlignment="1">
      <alignment horizontal="center"/>
    </xf>
    <xf numFmtId="0" fontId="25" fillId="0" borderId="0" xfId="0" applyFont="1"/>
    <xf numFmtId="0" fontId="25" fillId="0" borderId="0" xfId="0" applyFont="1" applyAlignment="1">
      <alignment horizontal="center"/>
    </xf>
    <xf numFmtId="0" fontId="23" fillId="0" borderId="0" xfId="0" applyFont="1"/>
    <xf numFmtId="4" fontId="23" fillId="0" borderId="0" xfId="0" applyNumberFormat="1" applyFont="1" applyBorder="1" applyAlignment="1">
      <alignment horizontal="justify" vertical="center" wrapText="1"/>
    </xf>
    <xf numFmtId="4" fontId="16" fillId="0" borderId="0" xfId="0" applyNumberFormat="1"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4" fontId="26" fillId="0" borderId="0" xfId="0" applyNumberFormat="1" applyFont="1" applyBorder="1" applyAlignment="1">
      <alignment horizontal="justify" vertical="center" wrapText="1"/>
    </xf>
    <xf numFmtId="0" fontId="24" fillId="0" borderId="0" xfId="0" applyFont="1" applyBorder="1" applyAlignment="1">
      <alignment horizontal="right"/>
    </xf>
    <xf numFmtId="0" fontId="25" fillId="0" borderId="0" xfId="0" applyFont="1" applyBorder="1"/>
    <xf numFmtId="167" fontId="23" fillId="0" borderId="0" xfId="5" applyNumberFormat="1" applyFont="1" applyBorder="1" applyAlignment="1">
      <alignment horizontal="left"/>
    </xf>
    <xf numFmtId="0" fontId="18" fillId="0" borderId="0" xfId="0" applyFont="1" applyBorder="1" applyAlignment="1">
      <alignment horizontal="right"/>
    </xf>
    <xf numFmtId="4" fontId="18" fillId="0" borderId="0" xfId="0" applyNumberFormat="1" applyFont="1" applyBorder="1" applyAlignment="1">
      <alignment horizontal="center"/>
    </xf>
    <xf numFmtId="0" fontId="18" fillId="0" borderId="0" xfId="0" applyFont="1" applyAlignment="1">
      <alignment horizontal="right"/>
    </xf>
    <xf numFmtId="4" fontId="18" fillId="0" borderId="0" xfId="5" applyNumberFormat="1" applyFont="1" applyBorder="1" applyAlignment="1">
      <alignment horizontal="center"/>
    </xf>
    <xf numFmtId="167" fontId="18" fillId="0" borderId="0" xfId="5" applyNumberFormat="1" applyFont="1" applyBorder="1" applyAlignment="1">
      <alignment horizontal="center"/>
    </xf>
    <xf numFmtId="0" fontId="21" fillId="0" borderId="0" xfId="0" applyFont="1" applyAlignment="1">
      <alignment horizontal="center"/>
    </xf>
    <xf numFmtId="4" fontId="16" fillId="0" borderId="0" xfId="0" applyNumberFormat="1" applyFont="1" applyBorder="1" applyAlignment="1">
      <alignment horizontal="center"/>
    </xf>
    <xf numFmtId="0" fontId="28" fillId="0" borderId="0" xfId="0" applyFont="1" applyBorder="1"/>
    <xf numFmtId="0" fontId="18" fillId="0" borderId="0" xfId="0" applyFont="1"/>
    <xf numFmtId="0" fontId="23" fillId="0" borderId="0" xfId="0" applyFont="1" applyAlignment="1">
      <alignment horizontal="right"/>
    </xf>
    <xf numFmtId="0" fontId="23" fillId="0" borderId="4" xfId="0" applyFont="1" applyBorder="1" applyAlignment="1">
      <alignment vertical="center" wrapText="1"/>
    </xf>
    <xf numFmtId="0" fontId="23" fillId="0" borderId="6" xfId="0" applyFont="1" applyBorder="1" applyAlignment="1">
      <alignment vertical="center" wrapText="1"/>
    </xf>
    <xf numFmtId="0" fontId="29" fillId="0" borderId="0" xfId="0" applyFont="1"/>
    <xf numFmtId="0" fontId="23" fillId="0" borderId="0" xfId="0" applyFont="1" applyAlignment="1">
      <alignment vertical="center" wrapText="1"/>
    </xf>
    <xf numFmtId="4" fontId="15" fillId="2" borderId="3" xfId="0" applyNumberFormat="1" applyFont="1" applyFill="1" applyBorder="1" applyAlignment="1">
      <alignment vertical="center"/>
    </xf>
    <xf numFmtId="4" fontId="18" fillId="0" borderId="0" xfId="0" applyNumberFormat="1" applyFont="1" applyAlignment="1">
      <alignment horizontal="center"/>
    </xf>
    <xf numFmtId="0" fontId="15" fillId="2" borderId="3" xfId="0" applyFont="1" applyFill="1" applyBorder="1" applyAlignment="1">
      <alignment vertical="center"/>
    </xf>
    <xf numFmtId="0" fontId="14" fillId="0" borderId="0" xfId="0" applyFont="1" applyBorder="1" applyAlignment="1">
      <alignment horizontal="center" vertical="top"/>
    </xf>
    <xf numFmtId="0" fontId="30" fillId="0" borderId="0" xfId="0" applyFont="1"/>
    <xf numFmtId="0" fontId="25" fillId="0" borderId="0" xfId="0" applyFont="1" applyAlignment="1">
      <alignment vertical="center"/>
    </xf>
    <xf numFmtId="0" fontId="16" fillId="0" borderId="0" xfId="0" quotePrefix="1" applyFont="1"/>
    <xf numFmtId="0" fontId="18" fillId="0" borderId="0" xfId="0" applyFont="1" applyBorder="1"/>
    <xf numFmtId="0" fontId="26" fillId="0" borderId="0" xfId="0" applyFont="1"/>
    <xf numFmtId="0" fontId="25" fillId="0" borderId="6" xfId="0" applyFont="1" applyBorder="1" applyAlignment="1">
      <alignment vertical="center"/>
    </xf>
    <xf numFmtId="0" fontId="25" fillId="0" borderId="4" xfId="0" applyFont="1" applyBorder="1" applyAlignment="1">
      <alignment vertical="center"/>
    </xf>
    <xf numFmtId="0" fontId="18" fillId="2" borderId="7" xfId="0" applyFont="1" applyFill="1" applyBorder="1" applyAlignment="1">
      <alignment horizontal="center" vertical="center"/>
    </xf>
    <xf numFmtId="3" fontId="0" fillId="0" borderId="0" xfId="0" applyNumberFormat="1"/>
    <xf numFmtId="0" fontId="25" fillId="0" borderId="0" xfId="0" applyFont="1" applyAlignment="1">
      <alignment horizontal="right"/>
    </xf>
    <xf numFmtId="0" fontId="25" fillId="0" borderId="2" xfId="0" applyFont="1" applyBorder="1" applyAlignment="1">
      <alignment horizontal="right"/>
    </xf>
    <xf numFmtId="0" fontId="15" fillId="2" borderId="3" xfId="0" applyFont="1" applyFill="1" applyBorder="1" applyAlignment="1">
      <alignment horizontal="right" vertical="center"/>
    </xf>
    <xf numFmtId="4" fontId="25" fillId="0" borderId="4" xfId="0" applyNumberFormat="1" applyFont="1" applyBorder="1" applyAlignment="1">
      <alignment vertical="center"/>
    </xf>
    <xf numFmtId="3" fontId="6" fillId="0" borderId="0" xfId="6" applyNumberFormat="1" applyFont="1" applyFill="1" applyAlignment="1">
      <alignment horizontal="center"/>
    </xf>
    <xf numFmtId="0" fontId="5" fillId="0" borderId="0" xfId="6"/>
    <xf numFmtId="3" fontId="12" fillId="0" borderId="0" xfId="6" applyNumberFormat="1" applyFont="1" applyFill="1" applyAlignment="1">
      <alignment horizontal="center"/>
    </xf>
    <xf numFmtId="0" fontId="20" fillId="3" borderId="7" xfId="6" applyFont="1" applyFill="1" applyBorder="1"/>
    <xf numFmtId="1" fontId="17" fillId="4" borderId="7" xfId="6" applyNumberFormat="1" applyFont="1" applyFill="1" applyBorder="1" applyAlignment="1">
      <alignment horizontal="center"/>
    </xf>
    <xf numFmtId="0" fontId="17" fillId="0" borderId="7" xfId="6" applyFont="1" applyFill="1" applyBorder="1" applyAlignment="1">
      <alignment horizontal="center"/>
    </xf>
    <xf numFmtId="0" fontId="17" fillId="4" borderId="9" xfId="6" applyFont="1" applyFill="1" applyBorder="1" applyAlignment="1">
      <alignment horizontal="center"/>
    </xf>
    <xf numFmtId="0" fontId="17" fillId="0" borderId="7" xfId="6" applyFont="1" applyBorder="1" applyAlignment="1">
      <alignment horizontal="center"/>
    </xf>
    <xf numFmtId="0" fontId="17" fillId="5" borderId="7" xfId="6" applyFont="1" applyFill="1" applyBorder="1" applyAlignment="1">
      <alignment horizontal="center"/>
    </xf>
    <xf numFmtId="0" fontId="17" fillId="5" borderId="9" xfId="6" applyFont="1" applyFill="1" applyBorder="1" applyAlignment="1">
      <alignment horizontal="center"/>
    </xf>
    <xf numFmtId="0" fontId="17" fillId="0" borderId="9" xfId="6" applyFont="1" applyBorder="1" applyAlignment="1">
      <alignment horizontal="center"/>
    </xf>
    <xf numFmtId="0" fontId="33" fillId="0" borderId="11" xfId="6" applyFont="1" applyBorder="1"/>
    <xf numFmtId="4" fontId="33" fillId="4" borderId="11" xfId="6" applyNumberFormat="1" applyFont="1" applyFill="1" applyBorder="1"/>
    <xf numFmtId="10" fontId="33" fillId="0" borderId="11" xfId="7" applyNumberFormat="1" applyFont="1" applyFill="1" applyBorder="1"/>
    <xf numFmtId="10" fontId="33" fillId="0" borderId="12" xfId="7" applyNumberFormat="1" applyFont="1" applyFill="1" applyBorder="1"/>
    <xf numFmtId="4" fontId="33" fillId="4" borderId="9" xfId="6" applyNumberFormat="1" applyFont="1" applyFill="1" applyBorder="1"/>
    <xf numFmtId="10" fontId="33" fillId="0" borderId="5" xfId="6" applyNumberFormat="1" applyFont="1" applyBorder="1"/>
    <xf numFmtId="4" fontId="33" fillId="5" borderId="13" xfId="6" applyNumberFormat="1" applyFont="1" applyFill="1" applyBorder="1"/>
    <xf numFmtId="10" fontId="33" fillId="0" borderId="13" xfId="6" applyNumberFormat="1" applyFont="1" applyBorder="1"/>
    <xf numFmtId="10" fontId="33" fillId="0" borderId="9" xfId="6" applyNumberFormat="1" applyFont="1" applyBorder="1"/>
    <xf numFmtId="10" fontId="33" fillId="0" borderId="0" xfId="6" applyNumberFormat="1" applyFont="1" applyBorder="1"/>
    <xf numFmtId="4" fontId="33" fillId="5" borderId="12" xfId="6" applyNumberFormat="1" applyFont="1" applyFill="1" applyBorder="1"/>
    <xf numFmtId="10" fontId="33" fillId="0" borderId="12" xfId="6" applyNumberFormat="1" applyFont="1" applyBorder="1"/>
    <xf numFmtId="10" fontId="33" fillId="0" borderId="11" xfId="6" applyNumberFormat="1" applyFont="1" applyBorder="1"/>
    <xf numFmtId="4" fontId="33" fillId="5" borderId="11" xfId="6" applyNumberFormat="1" applyFont="1" applyFill="1" applyBorder="1"/>
    <xf numFmtId="4" fontId="33" fillId="4" borderId="10" xfId="6" applyNumberFormat="1" applyFont="1" applyFill="1" applyBorder="1"/>
    <xf numFmtId="10" fontId="33" fillId="0" borderId="6" xfId="6" applyNumberFormat="1" applyFont="1" applyBorder="1"/>
    <xf numFmtId="4" fontId="33" fillId="5" borderId="14" xfId="6" applyNumberFormat="1" applyFont="1" applyFill="1" applyBorder="1"/>
    <xf numFmtId="10" fontId="33" fillId="0" borderId="14" xfId="6" applyNumberFormat="1" applyFont="1" applyBorder="1"/>
    <xf numFmtId="10" fontId="33" fillId="0" borderId="10" xfId="6" applyNumberFormat="1" applyFont="1" applyBorder="1"/>
    <xf numFmtId="0" fontId="17" fillId="0" borderId="7" xfId="6" applyFont="1" applyBorder="1"/>
    <xf numFmtId="4" fontId="17" fillId="4" borderId="7" xfId="6" applyNumberFormat="1" applyFont="1" applyFill="1" applyBorder="1"/>
    <xf numFmtId="10" fontId="17" fillId="0" borderId="7" xfId="7" applyNumberFormat="1" applyFont="1" applyFill="1" applyBorder="1"/>
    <xf numFmtId="4" fontId="17" fillId="4" borderId="11" xfId="6" applyNumberFormat="1" applyFont="1" applyFill="1" applyBorder="1"/>
    <xf numFmtId="10" fontId="17" fillId="0" borderId="7" xfId="6" applyNumberFormat="1" applyFont="1" applyBorder="1"/>
    <xf numFmtId="4" fontId="17" fillId="5" borderId="11" xfId="6" applyNumberFormat="1" applyFont="1" applyFill="1" applyBorder="1"/>
    <xf numFmtId="10" fontId="17" fillId="0" borderId="0" xfId="6" applyNumberFormat="1" applyFont="1" applyBorder="1"/>
    <xf numFmtId="4" fontId="17" fillId="4" borderId="10" xfId="6" applyNumberFormat="1" applyFont="1" applyFill="1" applyBorder="1"/>
    <xf numFmtId="4" fontId="17" fillId="5" borderId="10" xfId="6" applyNumberFormat="1" applyFont="1" applyFill="1" applyBorder="1"/>
    <xf numFmtId="10" fontId="17" fillId="0" borderId="9" xfId="6" applyNumberFormat="1" applyFont="1" applyBorder="1"/>
    <xf numFmtId="4" fontId="17" fillId="5" borderId="7" xfId="6" applyNumberFormat="1" applyFont="1" applyFill="1" applyBorder="1"/>
    <xf numFmtId="0" fontId="33" fillId="0" borderId="0" xfId="6" applyFont="1" applyAlignment="1"/>
    <xf numFmtId="4" fontId="33" fillId="0" borderId="0" xfId="6" applyNumberFormat="1" applyFont="1" applyFill="1" applyAlignment="1"/>
    <xf numFmtId="4" fontId="33" fillId="0" borderId="0" xfId="6" applyNumberFormat="1" applyFont="1" applyAlignment="1"/>
    <xf numFmtId="4" fontId="33" fillId="0" borderId="0" xfId="6" applyNumberFormat="1" applyFont="1"/>
    <xf numFmtId="0" fontId="33" fillId="0" borderId="0" xfId="6" applyFont="1"/>
    <xf numFmtId="0" fontId="33" fillId="0" borderId="13" xfId="6" applyFont="1" applyBorder="1" applyAlignment="1"/>
    <xf numFmtId="4" fontId="33" fillId="4" borderId="9" xfId="6" applyNumberFormat="1" applyFont="1" applyFill="1" applyBorder="1" applyAlignment="1"/>
    <xf numFmtId="4" fontId="33" fillId="0" borderId="5" xfId="6" applyNumberFormat="1" applyFont="1" applyFill="1" applyBorder="1" applyAlignment="1"/>
    <xf numFmtId="4" fontId="33" fillId="0" borderId="15" xfId="6" applyNumberFormat="1" applyFont="1" applyFill="1" applyBorder="1" applyAlignment="1"/>
    <xf numFmtId="4" fontId="33" fillId="0" borderId="5" xfId="6" applyNumberFormat="1" applyFont="1" applyBorder="1"/>
    <xf numFmtId="4" fontId="33" fillId="5" borderId="9" xfId="6" applyNumberFormat="1" applyFont="1" applyFill="1" applyBorder="1"/>
    <xf numFmtId="0" fontId="33" fillId="0" borderId="5" xfId="6" applyFont="1" applyBorder="1"/>
    <xf numFmtId="0" fontId="33" fillId="0" borderId="15" xfId="6" applyFont="1" applyBorder="1"/>
    <xf numFmtId="0" fontId="33" fillId="0" borderId="12" xfId="6" applyFont="1" applyBorder="1" applyAlignment="1"/>
    <xf numFmtId="4" fontId="33" fillId="4" borderId="10" xfId="6" applyNumberFormat="1" applyFont="1" applyFill="1" applyBorder="1" applyAlignment="1"/>
    <xf numFmtId="4" fontId="33" fillId="0" borderId="6" xfId="6" applyNumberFormat="1" applyFont="1" applyFill="1" applyBorder="1" applyAlignment="1"/>
    <xf numFmtId="4" fontId="33" fillId="0" borderId="16" xfId="6" applyNumberFormat="1" applyFont="1" applyFill="1" applyBorder="1" applyAlignment="1"/>
    <xf numFmtId="4" fontId="33" fillId="0" borderId="6" xfId="6" applyNumberFormat="1" applyFont="1" applyBorder="1"/>
    <xf numFmtId="4" fontId="33" fillId="5" borderId="10" xfId="6" applyNumberFormat="1" applyFont="1" applyFill="1" applyBorder="1"/>
    <xf numFmtId="0" fontId="33" fillId="0" borderId="6" xfId="6" applyFont="1" applyBorder="1"/>
    <xf numFmtId="0" fontId="33" fillId="0" borderId="16" xfId="6" applyFont="1" applyBorder="1"/>
    <xf numFmtId="0" fontId="17" fillId="0" borderId="7" xfId="6" applyFont="1" applyBorder="1" applyAlignment="1"/>
    <xf numFmtId="4" fontId="17" fillId="4" borderId="14" xfId="6" applyNumberFormat="1" applyFont="1" applyFill="1" applyBorder="1" applyAlignment="1"/>
    <xf numFmtId="4" fontId="17" fillId="0" borderId="8" xfId="6" applyNumberFormat="1" applyFont="1" applyFill="1" applyBorder="1" applyAlignment="1"/>
    <xf numFmtId="4" fontId="17" fillId="4" borderId="1" xfId="6" applyNumberFormat="1" applyFont="1" applyFill="1" applyBorder="1" applyAlignment="1"/>
    <xf numFmtId="4" fontId="33" fillId="0" borderId="8" xfId="6" applyNumberFormat="1" applyFont="1" applyBorder="1"/>
    <xf numFmtId="0" fontId="33" fillId="0" borderId="7" xfId="6" applyFont="1" applyBorder="1"/>
    <xf numFmtId="0" fontId="5" fillId="0" borderId="0" xfId="6" applyAlignment="1"/>
    <xf numFmtId="4" fontId="17" fillId="4" borderId="1" xfId="6" applyNumberFormat="1" applyFont="1" applyFill="1" applyBorder="1"/>
    <xf numFmtId="4" fontId="33" fillId="0" borderId="7" xfId="6" applyNumberFormat="1" applyFont="1" applyBorder="1"/>
    <xf numFmtId="168" fontId="33" fillId="0" borderId="0" xfId="6" applyNumberFormat="1" applyFont="1" applyFill="1" applyAlignment="1"/>
    <xf numFmtId="0" fontId="33" fillId="0" borderId="0" xfId="6" applyFont="1" applyFill="1" applyAlignment="1"/>
    <xf numFmtId="168" fontId="33" fillId="0" borderId="0" xfId="6" applyNumberFormat="1" applyFont="1" applyFill="1"/>
    <xf numFmtId="0" fontId="33" fillId="0" borderId="0" xfId="6" applyFont="1" applyFill="1"/>
    <xf numFmtId="3" fontId="17" fillId="4" borderId="7" xfId="6" applyNumberFormat="1" applyFont="1" applyFill="1" applyBorder="1" applyAlignment="1">
      <alignment horizontal="center"/>
    </xf>
    <xf numFmtId="10" fontId="33" fillId="0" borderId="9" xfId="7" applyNumberFormat="1" applyFont="1" applyFill="1" applyBorder="1"/>
    <xf numFmtId="10" fontId="33" fillId="0" borderId="13" xfId="7" applyNumberFormat="1" applyFont="1" applyFill="1" applyBorder="1"/>
    <xf numFmtId="10" fontId="33" fillId="0" borderId="10" xfId="7" applyNumberFormat="1" applyFont="1" applyFill="1" applyBorder="1"/>
    <xf numFmtId="10" fontId="33" fillId="0" borderId="14" xfId="7" applyNumberFormat="1" applyFont="1" applyFill="1" applyBorder="1"/>
    <xf numFmtId="4" fontId="17" fillId="4" borderId="7" xfId="7" applyNumberFormat="1" applyFont="1" applyFill="1" applyBorder="1"/>
    <xf numFmtId="10" fontId="17" fillId="0" borderId="11" xfId="7" applyNumberFormat="1" applyFont="1" applyFill="1" applyBorder="1"/>
    <xf numFmtId="10" fontId="17" fillId="0" borderId="11" xfId="6" applyNumberFormat="1" applyFont="1" applyBorder="1"/>
    <xf numFmtId="10" fontId="17" fillId="0" borderId="10" xfId="6" applyNumberFormat="1" applyFont="1" applyBorder="1"/>
    <xf numFmtId="4" fontId="33" fillId="0" borderId="0" xfId="6" applyNumberFormat="1" applyFont="1" applyFill="1"/>
    <xf numFmtId="0" fontId="33" fillId="0" borderId="9" xfId="6" applyFont="1" applyBorder="1" applyAlignment="1"/>
    <xf numFmtId="4" fontId="33" fillId="0" borderId="15" xfId="6" applyNumberFormat="1" applyFont="1" applyFill="1" applyBorder="1" applyAlignment="1">
      <alignment horizontal="center"/>
    </xf>
    <xf numFmtId="4" fontId="33" fillId="0" borderId="15" xfId="6" applyNumberFormat="1" applyFont="1" applyBorder="1"/>
    <xf numFmtId="4" fontId="33" fillId="0" borderId="9" xfId="6" applyNumberFormat="1" applyFont="1" applyBorder="1"/>
    <xf numFmtId="0" fontId="33" fillId="0" borderId="13" xfId="6" applyFont="1" applyBorder="1"/>
    <xf numFmtId="0" fontId="33" fillId="0" borderId="10" xfId="6" applyFont="1" applyBorder="1" applyAlignment="1"/>
    <xf numFmtId="4" fontId="33" fillId="0" borderId="16" xfId="6" applyNumberFormat="1" applyFont="1" applyFill="1" applyBorder="1" applyAlignment="1">
      <alignment horizontal="center"/>
    </xf>
    <xf numFmtId="4" fontId="33" fillId="0" borderId="16" xfId="6" applyNumberFormat="1" applyFont="1" applyBorder="1"/>
    <xf numFmtId="4" fontId="33" fillId="0" borderId="10" xfId="6" applyNumberFormat="1" applyFont="1" applyBorder="1"/>
    <xf numFmtId="0" fontId="33" fillId="0" borderId="14" xfId="6" applyFont="1" applyBorder="1"/>
    <xf numFmtId="4" fontId="17" fillId="4" borderId="7" xfId="6" applyNumberFormat="1" applyFont="1" applyFill="1" applyBorder="1" applyAlignment="1"/>
    <xf numFmtId="4" fontId="17" fillId="0" borderId="8" xfId="6" applyNumberFormat="1" applyFont="1" applyFill="1" applyBorder="1" applyAlignment="1">
      <alignment horizontal="center"/>
    </xf>
    <xf numFmtId="4" fontId="17" fillId="0" borderId="7" xfId="6" applyNumberFormat="1" applyFont="1" applyFill="1" applyBorder="1" applyAlignment="1"/>
    <xf numFmtId="4" fontId="33" fillId="0" borderId="7" xfId="6" applyNumberFormat="1" applyFont="1" applyFill="1" applyBorder="1" applyAlignment="1">
      <alignment horizontal="center"/>
    </xf>
    <xf numFmtId="168" fontId="33" fillId="0" borderId="0" xfId="6" applyNumberFormat="1" applyFont="1"/>
    <xf numFmtId="3" fontId="5" fillId="0" borderId="0" xfId="6" applyNumberFormat="1"/>
    <xf numFmtId="3" fontId="20" fillId="0" borderId="0" xfId="6" applyNumberFormat="1" applyFont="1"/>
    <xf numFmtId="1" fontId="20" fillId="0" borderId="7" xfId="6" applyNumberFormat="1" applyFont="1" applyBorder="1" applyAlignment="1">
      <alignment horizontal="center"/>
    </xf>
    <xf numFmtId="3" fontId="20" fillId="0" borderId="13" xfId="6" applyNumberFormat="1" applyFont="1" applyBorder="1"/>
    <xf numFmtId="4" fontId="5" fillId="0" borderId="5" xfId="6" applyNumberFormat="1" applyBorder="1"/>
    <xf numFmtId="4" fontId="5" fillId="0" borderId="15" xfId="6" applyNumberFormat="1" applyBorder="1"/>
    <xf numFmtId="3" fontId="20" fillId="0" borderId="12" xfId="6" applyNumberFormat="1" applyFont="1" applyBorder="1"/>
    <xf numFmtId="4" fontId="5" fillId="0" borderId="0" xfId="6" applyNumberFormat="1" applyBorder="1"/>
    <xf numFmtId="4" fontId="5" fillId="0" borderId="17" xfId="6" applyNumberFormat="1" applyBorder="1"/>
    <xf numFmtId="3" fontId="20" fillId="3" borderId="12" xfId="6" applyNumberFormat="1" applyFont="1" applyFill="1" applyBorder="1"/>
    <xf numFmtId="4" fontId="5" fillId="3" borderId="0" xfId="6" applyNumberFormat="1" applyFill="1" applyBorder="1"/>
    <xf numFmtId="4" fontId="5" fillId="3" borderId="17" xfId="6" applyNumberFormat="1" applyFill="1" applyBorder="1"/>
    <xf numFmtId="10" fontId="5" fillId="3" borderId="0" xfId="7" applyNumberFormat="1" applyFill="1" applyBorder="1"/>
    <xf numFmtId="10" fontId="5" fillId="3" borderId="17" xfId="7" applyNumberFormat="1" applyFill="1" applyBorder="1"/>
    <xf numFmtId="3" fontId="20" fillId="0" borderId="14" xfId="6" applyNumberFormat="1" applyFont="1" applyBorder="1"/>
    <xf numFmtId="10" fontId="5" fillId="0" borderId="6" xfId="7" applyNumberFormat="1" applyBorder="1"/>
    <xf numFmtId="10" fontId="5" fillId="0" borderId="16" xfId="7" applyNumberFormat="1" applyBorder="1"/>
    <xf numFmtId="3" fontId="20" fillId="3" borderId="14" xfId="6" applyNumberFormat="1" applyFont="1" applyFill="1" applyBorder="1"/>
    <xf numFmtId="10" fontId="5" fillId="3" borderId="6" xfId="7" applyNumberFormat="1" applyFill="1" applyBorder="1"/>
    <xf numFmtId="10" fontId="5" fillId="3" borderId="16" xfId="7" applyNumberFormat="1" applyFill="1" applyBorder="1"/>
    <xf numFmtId="4" fontId="5" fillId="0" borderId="6" xfId="6" applyNumberFormat="1" applyBorder="1"/>
    <xf numFmtId="4" fontId="5" fillId="0" borderId="16" xfId="6" applyNumberFormat="1" applyBorder="1"/>
    <xf numFmtId="168" fontId="5" fillId="0" borderId="0" xfId="6" applyNumberFormat="1"/>
    <xf numFmtId="4" fontId="5" fillId="0" borderId="0" xfId="6" applyNumberFormat="1"/>
    <xf numFmtId="0" fontId="5" fillId="0" borderId="7" xfId="6" applyBorder="1"/>
    <xf numFmtId="0" fontId="5" fillId="0" borderId="10" xfId="6" applyBorder="1"/>
    <xf numFmtId="0" fontId="5" fillId="0" borderId="9" xfId="6" applyBorder="1"/>
    <xf numFmtId="4" fontId="5" fillId="0" borderId="17" xfId="6" applyNumberFormat="1" applyFill="1" applyBorder="1"/>
    <xf numFmtId="0" fontId="12" fillId="0" borderId="7" xfId="0" applyFont="1" applyBorder="1" applyAlignment="1">
      <alignment horizontal="center" vertical="center"/>
    </xf>
    <xf numFmtId="0" fontId="7" fillId="0" borderId="7" xfId="0" applyFont="1" applyBorder="1" applyAlignment="1">
      <alignment horizontal="center" vertical="center"/>
    </xf>
    <xf numFmtId="0" fontId="12" fillId="0" borderId="7" xfId="0" applyFont="1" applyBorder="1" applyAlignment="1">
      <alignment horizontal="center"/>
    </xf>
    <xf numFmtId="0" fontId="7" fillId="0" borderId="7" xfId="0" applyFont="1" applyBorder="1" applyAlignment="1">
      <alignment horizontal="center"/>
    </xf>
    <xf numFmtId="0" fontId="12" fillId="0" borderId="7" xfId="0" applyFont="1" applyFill="1" applyBorder="1" applyAlignment="1">
      <alignment horizontal="center" vertical="center"/>
    </xf>
    <xf numFmtId="0" fontId="7" fillId="0" borderId="7" xfId="0" applyFont="1" applyFill="1" applyBorder="1" applyAlignment="1">
      <alignment horizontal="center" vertical="center"/>
    </xf>
    <xf numFmtId="164" fontId="25" fillId="0" borderId="6" xfId="4" applyFont="1" applyBorder="1" applyAlignment="1">
      <alignment vertical="center"/>
    </xf>
    <xf numFmtId="164" fontId="25" fillId="0" borderId="4" xfId="4" applyFont="1" applyBorder="1" applyAlignment="1">
      <alignment vertical="center"/>
    </xf>
    <xf numFmtId="164" fontId="25" fillId="0" borderId="4" xfId="4" applyFont="1" applyBorder="1" applyAlignment="1">
      <alignment horizontal="right" vertical="center"/>
    </xf>
    <xf numFmtId="164" fontId="25" fillId="0" borderId="0" xfId="4" applyFont="1" applyAlignment="1">
      <alignment vertical="center"/>
    </xf>
    <xf numFmtId="164" fontId="25" fillId="0" borderId="5" xfId="4" applyFont="1" applyBorder="1" applyAlignment="1">
      <alignment horizontal="right" vertical="center"/>
    </xf>
    <xf numFmtId="164" fontId="25" fillId="0" borderId="2" xfId="4" applyFont="1" applyBorder="1"/>
    <xf numFmtId="164" fontId="25" fillId="0" borderId="0" xfId="4" applyFont="1" applyBorder="1"/>
    <xf numFmtId="164" fontId="25" fillId="0" borderId="0" xfId="4" applyFont="1" applyAlignment="1">
      <alignment horizontal="right"/>
    </xf>
    <xf numFmtId="164" fontId="25" fillId="0" borderId="0" xfId="4" applyFont="1"/>
    <xf numFmtId="164" fontId="15" fillId="2" borderId="3" xfId="4" applyFont="1" applyFill="1" applyBorder="1" applyAlignment="1">
      <alignment vertical="center"/>
    </xf>
    <xf numFmtId="164" fontId="25" fillId="0" borderId="6" xfId="4" applyFont="1" applyBorder="1" applyAlignment="1">
      <alignment horizontal="right" vertical="center"/>
    </xf>
    <xf numFmtId="4" fontId="5" fillId="0" borderId="0" xfId="6" applyNumberFormat="1" applyFill="1" applyBorder="1"/>
    <xf numFmtId="164" fontId="25" fillId="0" borderId="0" xfId="0" applyNumberFormat="1" applyFont="1"/>
    <xf numFmtId="0" fontId="0" fillId="0" borderId="0" xfId="0" applyAlignment="1">
      <alignment vertical="top"/>
    </xf>
    <xf numFmtId="0" fontId="25" fillId="0" borderId="7" xfId="0" applyFont="1" applyBorder="1"/>
    <xf numFmtId="4" fontId="25" fillId="0" borderId="7" xfId="0" applyNumberFormat="1" applyFont="1" applyBorder="1"/>
    <xf numFmtId="0" fontId="25" fillId="0" borderId="7" xfId="0" applyFont="1" applyBorder="1" applyAlignment="1">
      <alignment wrapText="1"/>
    </xf>
    <xf numFmtId="4" fontId="25" fillId="0" borderId="7" xfId="0" quotePrefix="1" applyNumberFormat="1" applyFont="1" applyBorder="1" applyAlignment="1">
      <alignment horizontal="center"/>
    </xf>
    <xf numFmtId="0" fontId="25" fillId="0" borderId="7" xfId="0" quotePrefix="1" applyFont="1" applyBorder="1" applyAlignment="1">
      <alignment horizontal="center"/>
    </xf>
    <xf numFmtId="4" fontId="25" fillId="0" borderId="18" xfId="0" applyNumberFormat="1" applyFont="1" applyBorder="1"/>
    <xf numFmtId="4" fontId="25" fillId="0" borderId="11" xfId="0" applyNumberFormat="1" applyFont="1" applyBorder="1"/>
    <xf numFmtId="0" fontId="25" fillId="0" borderId="9" xfId="0" applyFont="1" applyBorder="1"/>
    <xf numFmtId="4" fontId="25" fillId="0" borderId="9" xfId="0" applyNumberFormat="1" applyFont="1" applyBorder="1"/>
    <xf numFmtId="0" fontId="25" fillId="0" borderId="9" xfId="0" quotePrefix="1" applyFont="1" applyBorder="1" applyAlignment="1">
      <alignment horizontal="center"/>
    </xf>
    <xf numFmtId="0" fontId="25" fillId="0" borderId="19" xfId="0" applyFont="1" applyBorder="1"/>
    <xf numFmtId="4" fontId="25" fillId="0" borderId="19" xfId="0" applyNumberFormat="1" applyFont="1" applyBorder="1"/>
    <xf numFmtId="0" fontId="25" fillId="0" borderId="19" xfId="0" quotePrefix="1" applyFont="1" applyBorder="1" applyAlignment="1">
      <alignment horizontal="center"/>
    </xf>
    <xf numFmtId="0" fontId="15" fillId="2" borderId="20" xfId="0" applyFont="1" applyFill="1" applyBorder="1" applyAlignment="1">
      <alignment vertical="center"/>
    </xf>
    <xf numFmtId="4" fontId="15" fillId="2" borderId="20" xfId="0" applyNumberFormat="1" applyFont="1" applyFill="1" applyBorder="1" applyAlignment="1">
      <alignment vertical="center"/>
    </xf>
    <xf numFmtId="4" fontId="25" fillId="0" borderId="0" xfId="0" applyNumberFormat="1" applyFont="1"/>
    <xf numFmtId="1" fontId="0" fillId="0" borderId="0" xfId="0" applyNumberFormat="1"/>
    <xf numFmtId="0" fontId="5" fillId="0" borderId="0" xfId="0" applyFont="1"/>
    <xf numFmtId="4" fontId="16" fillId="0" borderId="0" xfId="5" applyNumberFormat="1" applyFont="1" applyBorder="1" applyAlignment="1">
      <alignment horizontal="center"/>
    </xf>
    <xf numFmtId="167" fontId="16" fillId="0" borderId="0" xfId="5" applyNumberFormat="1" applyFont="1" applyBorder="1" applyAlignment="1">
      <alignment horizontal="center"/>
    </xf>
    <xf numFmtId="4" fontId="23" fillId="0" borderId="0" xfId="5" applyNumberFormat="1" applyFont="1" applyBorder="1" applyAlignment="1">
      <alignment horizontal="center"/>
    </xf>
    <xf numFmtId="166" fontId="25" fillId="0" borderId="0" xfId="5" applyNumberFormat="1" applyFont="1" applyAlignment="1">
      <alignment horizontal="right"/>
    </xf>
    <xf numFmtId="2" fontId="25" fillId="0" borderId="0" xfId="0" applyNumberFormat="1" applyFont="1" applyAlignment="1">
      <alignment horizontal="center"/>
    </xf>
    <xf numFmtId="166" fontId="23" fillId="0" borderId="0" xfId="5" applyNumberFormat="1" applyFont="1" applyBorder="1" applyAlignment="1">
      <alignment horizontal="center"/>
    </xf>
    <xf numFmtId="4" fontId="17" fillId="0" borderId="9" xfId="6" applyNumberFormat="1" applyFont="1" applyBorder="1"/>
    <xf numFmtId="0" fontId="12" fillId="0" borderId="0" xfId="0" applyFont="1" applyFill="1" applyBorder="1" applyAlignment="1">
      <alignment horizontal="center" vertical="center"/>
    </xf>
    <xf numFmtId="0" fontId="27" fillId="0" borderId="0" xfId="0" applyFont="1" applyBorder="1"/>
    <xf numFmtId="0" fontId="29" fillId="0" borderId="0" xfId="0" applyFont="1" applyAlignment="1"/>
    <xf numFmtId="2" fontId="15" fillId="2" borderId="3" xfId="0" applyNumberFormat="1" applyFont="1" applyFill="1" applyBorder="1" applyAlignment="1">
      <alignment horizontal="right" vertical="center"/>
    </xf>
    <xf numFmtId="2" fontId="15" fillId="2" borderId="3" xfId="0" quotePrefix="1" applyNumberFormat="1" applyFont="1" applyFill="1" applyBorder="1" applyAlignment="1">
      <alignment horizontal="right" vertical="center"/>
    </xf>
    <xf numFmtId="0" fontId="15" fillId="2" borderId="3" xfId="0" quotePrefix="1" applyFont="1" applyFill="1" applyBorder="1" applyAlignment="1">
      <alignment horizontal="right" vertical="center"/>
    </xf>
    <xf numFmtId="0" fontId="0" fillId="0" borderId="0" xfId="0" quotePrefix="1"/>
    <xf numFmtId="0" fontId="21" fillId="0" borderId="0" xfId="0" applyFont="1" applyAlignment="1">
      <alignment horizontal="center"/>
    </xf>
    <xf numFmtId="0" fontId="16" fillId="0" borderId="0" xfId="0" quotePrefix="1" applyFont="1" applyAlignment="1">
      <alignment wrapText="1"/>
    </xf>
    <xf numFmtId="0" fontId="5" fillId="0" borderId="0" xfId="0" applyFont="1" applyAlignment="1">
      <alignment wrapText="1"/>
    </xf>
    <xf numFmtId="0" fontId="0" fillId="0" borderId="0" xfId="0" applyAlignment="1"/>
    <xf numFmtId="3" fontId="31" fillId="0" borderId="13" xfId="6" applyNumberFormat="1" applyFont="1" applyBorder="1" applyAlignment="1">
      <alignment horizontal="center" vertical="center"/>
    </xf>
    <xf numFmtId="3" fontId="31" fillId="0" borderId="5" xfId="6" applyNumberFormat="1" applyFont="1" applyBorder="1" applyAlignment="1">
      <alignment horizontal="center" vertical="center"/>
    </xf>
    <xf numFmtId="3" fontId="31" fillId="0" borderId="15" xfId="6" applyNumberFormat="1" applyFont="1" applyBorder="1" applyAlignment="1">
      <alignment horizontal="center" vertical="center"/>
    </xf>
    <xf numFmtId="3" fontId="31" fillId="0" borderId="14" xfId="6" applyNumberFormat="1" applyFont="1" applyBorder="1" applyAlignment="1">
      <alignment horizontal="center" vertical="center"/>
    </xf>
    <xf numFmtId="3" fontId="31" fillId="0" borderId="6" xfId="6" applyNumberFormat="1" applyFont="1" applyBorder="1" applyAlignment="1">
      <alignment horizontal="center" vertical="center"/>
    </xf>
    <xf numFmtId="3" fontId="31" fillId="0" borderId="16" xfId="6" applyNumberFormat="1" applyFont="1" applyBorder="1" applyAlignment="1">
      <alignment horizontal="center" vertical="center"/>
    </xf>
    <xf numFmtId="168" fontId="33" fillId="3" borderId="0" xfId="6" applyNumberFormat="1" applyFont="1" applyFill="1" applyAlignment="1">
      <alignment horizontal="center"/>
    </xf>
    <xf numFmtId="168" fontId="17" fillId="3" borderId="0" xfId="6" applyNumberFormat="1" applyFont="1" applyFill="1" applyAlignment="1">
      <alignment horizontal="center"/>
    </xf>
    <xf numFmtId="0" fontId="7" fillId="0" borderId="0" xfId="0" applyFont="1" applyFill="1" applyBorder="1" applyAlignment="1">
      <alignment horizontal="left" vertical="center"/>
    </xf>
    <xf numFmtId="0" fontId="34" fillId="0" borderId="0"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left"/>
    </xf>
    <xf numFmtId="4" fontId="26" fillId="0" borderId="0" xfId="0" applyNumberFormat="1" applyFont="1" applyBorder="1" applyAlignment="1">
      <alignment horizontal="justify" vertical="center" wrapText="1"/>
    </xf>
    <xf numFmtId="0" fontId="25" fillId="0" borderId="0" xfId="0" applyFont="1" applyBorder="1" applyAlignment="1">
      <alignment horizontal="justify" vertical="center" wrapText="1"/>
    </xf>
    <xf numFmtId="0" fontId="25" fillId="0" borderId="0" xfId="0" applyFont="1" applyAlignment="1">
      <alignment horizontal="center"/>
    </xf>
  </cellXfs>
  <cellStyles count="15">
    <cellStyle name="Estilo 1" xfId="1"/>
    <cellStyle name="Estilo 2" xfId="2"/>
    <cellStyle name="Estilo 3" xfId="3"/>
    <cellStyle name="Millares" xfId="4" builtinId="3"/>
    <cellStyle name="Millares [0]_EVOLUCION CAPITULOS 95-2003 ultimos" xfId="5"/>
    <cellStyle name="Millares 2" xfId="9"/>
    <cellStyle name="Millares 3" xfId="11"/>
    <cellStyle name="Millares 4" xfId="14"/>
    <cellStyle name="Normal" xfId="0" builtinId="0"/>
    <cellStyle name="Normal 2" xfId="6"/>
    <cellStyle name="Normal 3" xfId="8"/>
    <cellStyle name="Normal 4" xfId="10"/>
    <cellStyle name="Normal 5" xfId="12"/>
    <cellStyle name="Normal 6" xfId="13"/>
    <cellStyle name="Porcentual 2" xfId="7"/>
  </cellStyles>
  <dxfs count="0"/>
  <tableStyles count="0" defaultTableStyle="TableStyleMedium9" defaultPivotStyle="PivotStyleLight16"/>
  <colors>
    <mruColors>
      <color rgb="FF00FFFF"/>
      <color rgb="FFCCFFFF"/>
      <color rgb="FF33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74952105400695E-2"/>
          <c:y val="5.7086669043998804E-2"/>
          <c:w val="0.85031632426451398"/>
          <c:h val="0.84842601234355786"/>
        </c:manualLayout>
      </c:layout>
      <c:barChart>
        <c:barDir val="col"/>
        <c:grouping val="clustered"/>
        <c:varyColors val="0"/>
        <c:ser>
          <c:idx val="0"/>
          <c:order val="0"/>
          <c:tx>
            <c:strRef>
              <c:f>'EVOL. EE.PP.CONS.FUND.2011-20'!$D$4</c:f>
              <c:strCache>
                <c:ptCount val="1"/>
                <c:pt idx="0">
                  <c:v>EPE/SMP</c:v>
                </c:pt>
              </c:strCache>
            </c:strRef>
          </c:tx>
          <c:spPr>
            <a:gradFill>
              <a:gsLst>
                <a:gs pos="0">
                  <a:srgbClr val="3366FF">
                    <a:gamma/>
                    <a:shade val="46275"/>
                    <a:invGamma/>
                  </a:srgbClr>
                </a:gs>
                <a:gs pos="50000">
                  <a:srgbClr val="3366FF"/>
                </a:gs>
                <a:gs pos="100000">
                  <a:srgbClr val="3366FF">
                    <a:gamma/>
                    <a:shade val="46275"/>
                    <a:invGamma/>
                  </a:srgbClr>
                </a:gs>
              </a:gsLst>
              <a:lin ang="0" scaled="1"/>
            </a:gradFill>
            <a:ln w="9525">
              <a:solidFill>
                <a:srgbClr val="002060"/>
              </a:solidFill>
              <a:prstDash val="solid"/>
            </a:ln>
            <a:scene3d>
              <a:camera prst="orthographicFront"/>
              <a:lightRig rig="threePt" dir="t"/>
            </a:scene3d>
            <a:sp3d>
              <a:bevelT/>
              <a:bevelB/>
            </a:sp3d>
          </c:spPr>
          <c:invertIfNegative val="0"/>
          <c:cat>
            <c:numRef>
              <c:f>'EVOL. EE.PP.CONS.FUND.2011-20'!$C$24:$C$33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'EVOL. EE.PP.CONS.FUND.2011-20'!$D$24:$D$33</c:f>
              <c:numCache>
                <c:formatCode>General</c:formatCode>
                <c:ptCount val="10"/>
                <c:pt idx="0">
                  <c:v>29</c:v>
                </c:pt>
                <c:pt idx="1">
                  <c:v>19</c:v>
                </c:pt>
                <c:pt idx="2">
                  <c:v>17</c:v>
                </c:pt>
                <c:pt idx="3">
                  <c:v>18</c:v>
                </c:pt>
                <c:pt idx="4">
                  <c:v>18</c:v>
                </c:pt>
                <c:pt idx="5">
                  <c:v>20</c:v>
                </c:pt>
                <c:pt idx="6">
                  <c:v>20</c:v>
                </c:pt>
                <c:pt idx="7">
                  <c:v>22</c:v>
                </c:pt>
                <c:pt idx="8">
                  <c:v>22</c:v>
                </c:pt>
                <c:pt idx="9">
                  <c:v>22</c:v>
                </c:pt>
              </c:numCache>
            </c:numRef>
          </c:val>
          <c:extLst>
            <c:ext xmlns:c16="http://schemas.microsoft.com/office/drawing/2014/chart" uri="{C3380CC4-5D6E-409C-BE32-E72D297353CC}">
              <c16:uniqueId val="{00000000-56FA-49B2-BC15-2D06007E7294}"/>
            </c:ext>
          </c:extLst>
        </c:ser>
        <c:ser>
          <c:idx val="1"/>
          <c:order val="1"/>
          <c:tx>
            <c:strRef>
              <c:f>'EVOL. EE.PP.CONS.FUND.2011-20'!$E$4</c:f>
              <c:strCache>
                <c:ptCount val="1"/>
                <c:pt idx="0">
                  <c:v>CONSORCIS</c:v>
                </c:pt>
              </c:strCache>
            </c:strRef>
          </c:tx>
          <c:spPr>
            <a:solidFill>
              <a:srgbClr val="7030A0"/>
            </a:solidFill>
            <a:ln w="9525">
              <a:solidFill>
                <a:schemeClr val="tx1"/>
              </a:solidFill>
              <a:prstDash val="solid"/>
            </a:ln>
            <a:scene3d>
              <a:camera prst="orthographicFront"/>
              <a:lightRig rig="soft" dir="t"/>
            </a:scene3d>
            <a:sp3d prstMaterial="metal">
              <a:bevelT/>
              <a:bevelB/>
            </a:sp3d>
          </c:spPr>
          <c:invertIfNegative val="0"/>
          <c:cat>
            <c:numRef>
              <c:f>'EVOL. EE.PP.CONS.FUND.2011-20'!$C$24:$C$33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'EVOL. EE.PP.CONS.FUND.2011-20'!$E$24:$E$33</c:f>
              <c:numCache>
                <c:formatCode>General</c:formatCode>
                <c:ptCount val="10"/>
                <c:pt idx="0">
                  <c:v>71</c:v>
                </c:pt>
                <c:pt idx="1">
                  <c:v>36</c:v>
                </c:pt>
                <c:pt idx="2">
                  <c:v>34</c:v>
                </c:pt>
                <c:pt idx="3">
                  <c:v>32</c:v>
                </c:pt>
                <c:pt idx="4">
                  <c:v>30</c:v>
                </c:pt>
                <c:pt idx="5">
                  <c:v>27</c:v>
                </c:pt>
                <c:pt idx="6">
                  <c:v>25</c:v>
                </c:pt>
                <c:pt idx="7">
                  <c:v>23</c:v>
                </c:pt>
                <c:pt idx="8">
                  <c:v>22</c:v>
                </c:pt>
                <c:pt idx="9">
                  <c:v>21</c:v>
                </c:pt>
              </c:numCache>
            </c:numRef>
          </c:val>
          <c:extLst>
            <c:ext xmlns:c16="http://schemas.microsoft.com/office/drawing/2014/chart" uri="{C3380CC4-5D6E-409C-BE32-E72D297353CC}">
              <c16:uniqueId val="{00000001-56FA-49B2-BC15-2D06007E7294}"/>
            </c:ext>
          </c:extLst>
        </c:ser>
        <c:ser>
          <c:idx val="2"/>
          <c:order val="2"/>
          <c:tx>
            <c:strRef>
              <c:f>'EVOL. EE.PP.CONS.FUND.2011-20'!$F$4</c:f>
              <c:strCache>
                <c:ptCount val="1"/>
                <c:pt idx="0">
                  <c:v>FUNDACIONS</c:v>
                </c:pt>
              </c:strCache>
            </c:strRef>
          </c:tx>
          <c:spPr>
            <a:gradFill>
              <a:gsLst>
                <a:gs pos="0">
                  <a:srgbClr val="03D4A8"/>
                </a:gs>
                <a:gs pos="25000">
                  <a:srgbClr val="21D6E0"/>
                </a:gs>
                <a:gs pos="75000">
                  <a:srgbClr val="0087E6"/>
                </a:gs>
                <a:gs pos="100000">
                  <a:srgbClr val="005CBF"/>
                </a:gs>
              </a:gsLst>
              <a:lin ang="0" scaled="0"/>
            </a:gradFill>
            <a:ln w="38100">
              <a:solidFill>
                <a:srgbClr val="00FFFF"/>
              </a:solidFill>
              <a:prstDash val="solid"/>
            </a:ln>
            <a:scene3d>
              <a:camera prst="orthographicFront"/>
              <a:lightRig rig="threePt" dir="t"/>
            </a:scene3d>
            <a:sp3d>
              <a:bevelT/>
              <a:bevelB/>
            </a:sp3d>
          </c:spPr>
          <c:invertIfNegative val="0"/>
          <c:cat>
            <c:numRef>
              <c:f>'EVOL. EE.PP.CONS.FUND.2011-20'!$C$24:$C$33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'EVOL. EE.PP.CONS.FUND.2011-20'!$F$24:$F$33</c:f>
              <c:numCache>
                <c:formatCode>General</c:formatCode>
                <c:ptCount val="10"/>
                <c:pt idx="0">
                  <c:v>21</c:v>
                </c:pt>
                <c:pt idx="1">
                  <c:v>20</c:v>
                </c:pt>
                <c:pt idx="2">
                  <c:v>20</c:v>
                </c:pt>
                <c:pt idx="3">
                  <c:v>20</c:v>
                </c:pt>
                <c:pt idx="4">
                  <c:v>21</c:v>
                </c:pt>
                <c:pt idx="5">
                  <c:v>20</c:v>
                </c:pt>
                <c:pt idx="6">
                  <c:v>21</c:v>
                </c:pt>
                <c:pt idx="7">
                  <c:v>21</c:v>
                </c:pt>
                <c:pt idx="8">
                  <c:v>21</c:v>
                </c:pt>
                <c:pt idx="9">
                  <c:v>21</c:v>
                </c:pt>
              </c:numCache>
            </c:numRef>
          </c:val>
          <c:extLst>
            <c:ext xmlns:c16="http://schemas.microsoft.com/office/drawing/2014/chart" uri="{C3380CC4-5D6E-409C-BE32-E72D297353CC}">
              <c16:uniqueId val="{00000002-56FA-49B2-BC15-2D06007E7294}"/>
            </c:ext>
          </c:extLst>
        </c:ser>
        <c:ser>
          <c:idx val="3"/>
          <c:order val="3"/>
          <c:tx>
            <c:strRef>
              <c:f>'EVOL. EE.PP.CONS.FUND.2011-20'!$G$4</c:f>
              <c:strCache>
                <c:ptCount val="1"/>
                <c:pt idx="0">
                  <c:v>TOTAL ENS</c:v>
                </c:pt>
              </c:strCache>
            </c:strRef>
          </c:tx>
          <c:spPr>
            <a:gradFill>
              <a:gsLst>
                <a:gs pos="0">
                  <a:srgbClr val="DDEBCF"/>
                </a:gs>
                <a:gs pos="50000">
                  <a:srgbClr val="9CB86E"/>
                </a:gs>
                <a:gs pos="100000">
                  <a:srgbClr val="156B13"/>
                </a:gs>
              </a:gsLst>
              <a:lin ang="0" scaled="0"/>
            </a:gradFill>
            <a:ln w="28575">
              <a:solidFill>
                <a:schemeClr val="bg1">
                  <a:lumMod val="50000"/>
                </a:schemeClr>
              </a:solidFill>
              <a:prstDash val="solid"/>
            </a:ln>
            <a:scene3d>
              <a:camera prst="orthographicFront"/>
              <a:lightRig rig="threePt" dir="t"/>
            </a:scene3d>
            <a:sp3d prstMaterial="metal">
              <a:bevelT/>
              <a:bevelB/>
            </a:sp3d>
          </c:spPr>
          <c:invertIfNegative val="0"/>
          <c:cat>
            <c:numRef>
              <c:f>'EVOL. EE.PP.CONS.FUND.2011-20'!$C$24:$C$33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'EVOL. EE.PP.CONS.FUND.2011-20'!$G$24:$G$33</c:f>
              <c:numCache>
                <c:formatCode>General</c:formatCode>
                <c:ptCount val="10"/>
                <c:pt idx="0">
                  <c:v>121</c:v>
                </c:pt>
                <c:pt idx="1">
                  <c:v>75</c:v>
                </c:pt>
                <c:pt idx="2">
                  <c:v>71</c:v>
                </c:pt>
                <c:pt idx="3">
                  <c:v>70</c:v>
                </c:pt>
                <c:pt idx="4">
                  <c:v>69</c:v>
                </c:pt>
                <c:pt idx="5">
                  <c:v>67</c:v>
                </c:pt>
                <c:pt idx="6">
                  <c:v>66</c:v>
                </c:pt>
                <c:pt idx="7">
                  <c:v>66</c:v>
                </c:pt>
                <c:pt idx="8">
                  <c:v>65</c:v>
                </c:pt>
                <c:pt idx="9">
                  <c:v>64</c:v>
                </c:pt>
              </c:numCache>
            </c:numRef>
          </c:val>
          <c:extLst>
            <c:ext xmlns:c16="http://schemas.microsoft.com/office/drawing/2014/chart" uri="{C3380CC4-5D6E-409C-BE32-E72D297353CC}">
              <c16:uniqueId val="{00000003-56FA-49B2-BC15-2D06007E7294}"/>
            </c:ext>
          </c:extLst>
        </c:ser>
        <c:dLbls>
          <c:showLegendKey val="0"/>
          <c:showVal val="0"/>
          <c:showCatName val="0"/>
          <c:showSerName val="0"/>
          <c:showPercent val="0"/>
          <c:showBubbleSize val="0"/>
        </c:dLbls>
        <c:gapWidth val="150"/>
        <c:axId val="117865088"/>
        <c:axId val="117883264"/>
      </c:barChart>
      <c:catAx>
        <c:axId val="11786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1200" b="1" i="0" u="none" strike="noStrike" baseline="0">
                <a:solidFill>
                  <a:srgbClr val="000000"/>
                </a:solidFill>
                <a:latin typeface="Arial" pitchFamily="34" charset="0"/>
                <a:ea typeface="Times New Roman"/>
                <a:cs typeface="Arial" pitchFamily="34" charset="0"/>
              </a:defRPr>
            </a:pPr>
            <a:endParaRPr lang="es-ES"/>
          </a:p>
        </c:txPr>
        <c:crossAx val="117883264"/>
        <c:crosses val="autoZero"/>
        <c:auto val="1"/>
        <c:lblAlgn val="ctr"/>
        <c:lblOffset val="100"/>
        <c:tickLblSkip val="1"/>
        <c:tickMarkSkip val="1"/>
        <c:noMultiLvlLbl val="0"/>
      </c:catAx>
      <c:valAx>
        <c:axId val="117883264"/>
        <c:scaling>
          <c:orientation val="minMax"/>
          <c:max val="165"/>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ES" sz="1200" b="1" i="0" u="none" strike="noStrike" baseline="0">
                <a:solidFill>
                  <a:srgbClr val="000000"/>
                </a:solidFill>
                <a:latin typeface="Arial" pitchFamily="34" charset="0"/>
                <a:ea typeface="Times New Roman"/>
                <a:cs typeface="Arial" pitchFamily="34" charset="0"/>
              </a:defRPr>
            </a:pPr>
            <a:endParaRPr lang="es-ES"/>
          </a:p>
        </c:txPr>
        <c:crossAx val="117865088"/>
        <c:crosses val="autoZero"/>
        <c:crossBetween val="between"/>
        <c:majorUnit val="5"/>
        <c:minorUnit val="0.34"/>
      </c:valAx>
      <c:spPr>
        <a:solidFill>
          <a:schemeClr val="bg2"/>
        </a:solidFill>
        <a:ln w="12700">
          <a:solidFill>
            <a:srgbClr val="808080"/>
          </a:solidFill>
          <a:prstDash val="solid"/>
        </a:ln>
      </c:spPr>
    </c:plotArea>
    <c:legend>
      <c:legendPos val="r"/>
      <c:layout>
        <c:manualLayout>
          <c:xMode val="edge"/>
          <c:yMode val="edge"/>
          <c:x val="0.91131949179286775"/>
          <c:y val="0.38186436932037321"/>
          <c:w val="7.7465541531368393E-2"/>
          <c:h val="0.15825661608659519"/>
        </c:manualLayout>
      </c:layout>
      <c:overlay val="0"/>
      <c:spPr>
        <a:solidFill>
          <a:srgbClr val="FFFFFF"/>
        </a:solidFill>
        <a:ln w="3175">
          <a:solidFill>
            <a:srgbClr val="000000"/>
          </a:solidFill>
          <a:prstDash val="solid"/>
        </a:ln>
      </c:spPr>
      <c:txPr>
        <a:bodyPr/>
        <a:lstStyle/>
        <a:p>
          <a:pPr>
            <a:defRPr lang="es-ES" sz="1000" b="0" i="0" u="none" strike="noStrike" baseline="0">
              <a:solidFill>
                <a:srgbClr val="000000"/>
              </a:solidFill>
              <a:latin typeface="Arial" pitchFamily="34" charset="0"/>
              <a:ea typeface="Times New Roman"/>
              <a:cs typeface="Arial" pitchFamily="34" charset="0"/>
            </a:defRPr>
          </a:pPr>
          <a:endParaRPr lang="es-ES"/>
        </a:p>
      </c:txPr>
    </c:legend>
    <c:plotVisOnly val="1"/>
    <c:dispBlanksAs val="gap"/>
    <c:showDLblsOverMax val="0"/>
  </c:chart>
  <c:spPr>
    <a:solidFill>
      <a:srgbClr val="4F81BD">
        <a:lumMod val="20000"/>
        <a:lumOff val="80000"/>
      </a:srgbClr>
    </a:solidFill>
    <a:ln w="3175">
      <a:noFill/>
      <a:prstDash val="solid"/>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000000000001554" r="0.75000000000001554"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975" b="1" i="0" u="none" strike="noStrike" baseline="0">
                <a:solidFill>
                  <a:schemeClr val="tx2">
                    <a:lumMod val="75000"/>
                  </a:schemeClr>
                </a:solidFill>
                <a:latin typeface="Arial"/>
                <a:ea typeface="Arial"/>
                <a:cs typeface="Arial"/>
              </a:defRPr>
            </a:pPr>
            <a:r>
              <a:rPr lang="es-ES" b="1" baseline="0">
                <a:solidFill>
                  <a:schemeClr val="tx2">
                    <a:lumMod val="75000"/>
                  </a:schemeClr>
                </a:solidFill>
              </a:rPr>
              <a:t>FONS PROPIS DE LES ENTITATS INCLOSES EN EL COMPTE GENERAL </a:t>
            </a:r>
          </a:p>
        </c:rich>
      </c:tx>
      <c:layout>
        <c:manualLayout>
          <c:xMode val="edge"/>
          <c:yMode val="edge"/>
          <c:x val="0.19737696275703956"/>
          <c:y val="3.2866111034366319E-2"/>
        </c:manualLayout>
      </c:layout>
      <c:overlay val="0"/>
      <c:spPr>
        <a:solidFill>
          <a:schemeClr val="bg1"/>
        </a:solidFill>
        <a:ln w="3175">
          <a:solidFill>
            <a:srgbClr val="000000"/>
          </a:solidFill>
        </a:ln>
      </c:spPr>
    </c:title>
    <c:autoTitleDeleted val="0"/>
    <c:plotArea>
      <c:layout>
        <c:manualLayout>
          <c:layoutTarget val="inner"/>
          <c:xMode val="edge"/>
          <c:yMode val="edge"/>
          <c:x val="6.351425257889276E-2"/>
          <c:y val="0.13088330497884706"/>
          <c:w val="0.89018375151420059"/>
          <c:h val="0.75800362917598352"/>
        </c:manualLayout>
      </c:layout>
      <c:barChart>
        <c:barDir val="col"/>
        <c:grouping val="clustered"/>
        <c:varyColors val="0"/>
        <c:ser>
          <c:idx val="0"/>
          <c:order val="0"/>
          <c:tx>
            <c:strRef>
              <c:f>'Evol. fondos prop 201-21'!$A$4:$K$4</c:f>
              <c:strCache>
                <c:ptCount val="11"/>
                <c:pt idx="0">
                  <c:v>FONS PROPIS DE LES ENTITATS INCLOSES EN EL COMPTE GENERAL </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invertIfNegative val="0"/>
          <c:cat>
            <c:numRef>
              <c:f>'Evol. fondos prop 201-21'!$O$7:$X$7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'Evol. fondos prop 201-21'!$O$9:$X$9</c:f>
              <c:numCache>
                <c:formatCode>General</c:formatCode>
                <c:ptCount val="10"/>
                <c:pt idx="0">
                  <c:v>9.89</c:v>
                </c:pt>
                <c:pt idx="1">
                  <c:v>33.89</c:v>
                </c:pt>
                <c:pt idx="2">
                  <c:v>159.03</c:v>
                </c:pt>
                <c:pt idx="3">
                  <c:v>144.16</c:v>
                </c:pt>
                <c:pt idx="4">
                  <c:v>173.24</c:v>
                </c:pt>
                <c:pt idx="5">
                  <c:v>219.98</c:v>
                </c:pt>
                <c:pt idx="6" formatCode="0.00">
                  <c:v>270.89999999999998</c:v>
                </c:pt>
                <c:pt idx="7" formatCode="0.00">
                  <c:v>282.19</c:v>
                </c:pt>
                <c:pt idx="8" formatCode="0.00">
                  <c:v>257.67</c:v>
                </c:pt>
                <c:pt idx="9" formatCode="0.00">
                  <c:v>307.64999999999998</c:v>
                </c:pt>
              </c:numCache>
            </c:numRef>
          </c:val>
          <c:extLst>
            <c:ext xmlns:c16="http://schemas.microsoft.com/office/drawing/2014/chart" uri="{C3380CC4-5D6E-409C-BE32-E72D297353CC}">
              <c16:uniqueId val="{00000000-FCCB-461F-8B31-6DBBF90A170C}"/>
            </c:ext>
          </c:extLst>
        </c:ser>
        <c:dLbls>
          <c:showLegendKey val="0"/>
          <c:showVal val="0"/>
          <c:showCatName val="0"/>
          <c:showSerName val="0"/>
          <c:showPercent val="0"/>
          <c:showBubbleSize val="0"/>
        </c:dLbls>
        <c:gapWidth val="150"/>
        <c:axId val="122222464"/>
        <c:axId val="122224000"/>
      </c:barChart>
      <c:catAx>
        <c:axId val="1222224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s-ES"/>
          </a:p>
        </c:txPr>
        <c:crossAx val="122224000"/>
        <c:crosses val="autoZero"/>
        <c:auto val="1"/>
        <c:lblAlgn val="ctr"/>
        <c:lblOffset val="100"/>
        <c:tickLblSkip val="1"/>
        <c:tickMarkSkip val="1"/>
        <c:noMultiLvlLbl val="0"/>
      </c:catAx>
      <c:valAx>
        <c:axId val="122224000"/>
        <c:scaling>
          <c:orientation val="minMax"/>
          <c:max val="350"/>
          <c:min val="-35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s-ES"/>
          </a:p>
        </c:txPr>
        <c:crossAx val="122222464"/>
        <c:crosses val="autoZero"/>
        <c:crossBetween val="between"/>
        <c:majorUnit val="50"/>
        <c:minorUnit val="5"/>
      </c:valAx>
      <c:spPr>
        <a:solidFill>
          <a:schemeClr val="bg2"/>
        </a:solidFill>
        <a:ln w="12700">
          <a:solidFill>
            <a:srgbClr val="808080"/>
          </a:solidFill>
          <a:prstDash val="solid"/>
        </a:ln>
      </c:spPr>
    </c:plotArea>
    <c:plotVisOnly val="1"/>
    <c:dispBlanksAs val="gap"/>
    <c:showDLblsOverMax val="0"/>
  </c:chart>
  <c:spPr>
    <a:solidFill>
      <a:srgbClr val="4F81BD">
        <a:lumMod val="20000"/>
        <a:lumOff val="80000"/>
      </a:srgbClr>
    </a:solidFill>
    <a:ln w="3175">
      <a:noFill/>
      <a:prstDash val="solid"/>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1554" r="0.75000000000001554"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3996064703124625"/>
          <c:y val="5.3861937808621377E-2"/>
        </c:manualLayout>
      </c:layout>
      <c:overlay val="0"/>
      <c:spPr>
        <a:noFill/>
        <a:ln w="25400">
          <a:noFill/>
        </a:ln>
      </c:spPr>
      <c:txPr>
        <a:bodyPr/>
        <a:lstStyle/>
        <a:p>
          <a:pPr>
            <a:defRPr sz="1075" b="1" i="0" u="none" strike="noStrike" baseline="0">
              <a:solidFill>
                <a:schemeClr val="tx2">
                  <a:lumMod val="75000"/>
                </a:schemeClr>
              </a:solidFill>
              <a:latin typeface="Arial"/>
              <a:ea typeface="Arial"/>
              <a:cs typeface="Arial"/>
            </a:defRPr>
          </a:pPr>
          <a:endParaRPr lang="es-ES"/>
        </a:p>
      </c:txPr>
    </c:title>
    <c:autoTitleDeleted val="0"/>
    <c:plotArea>
      <c:layout>
        <c:manualLayout>
          <c:layoutTarget val="inner"/>
          <c:xMode val="edge"/>
          <c:yMode val="edge"/>
          <c:x val="6.8438850619552613E-2"/>
          <c:y val="0.21140964900573869"/>
          <c:w val="0.89489620709020601"/>
          <c:h val="0.63422922712162655"/>
        </c:manualLayout>
      </c:layout>
      <c:barChart>
        <c:barDir val="col"/>
        <c:grouping val="clustered"/>
        <c:varyColors val="0"/>
        <c:ser>
          <c:idx val="0"/>
          <c:order val="0"/>
          <c:tx>
            <c:strRef>
              <c:f>'Evol. resultados 2012-21'!$A$4</c:f>
              <c:strCache>
                <c:ptCount val="1"/>
                <c:pt idx="0">
                  <c:v>EVOLUCIÓ RESULTATS DE LES ENTITATS INCLOSES EN EL COMPTE GENERAL </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invertIfNegative val="0"/>
          <c:cat>
            <c:numRef>
              <c:f>'Evol. resultados 2012-21'!$O$7:$X$7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'Evol. resultados 2012-21'!$O$9:$X$9</c:f>
              <c:numCache>
                <c:formatCode>General</c:formatCode>
                <c:ptCount val="10"/>
                <c:pt idx="0">
                  <c:v>-37.29</c:v>
                </c:pt>
                <c:pt idx="1">
                  <c:v>-19.59</c:v>
                </c:pt>
                <c:pt idx="2">
                  <c:v>-5.08</c:v>
                </c:pt>
                <c:pt idx="3">
                  <c:v>-24</c:v>
                </c:pt>
                <c:pt idx="4">
                  <c:v>7.8</c:v>
                </c:pt>
                <c:pt idx="5">
                  <c:v>26.66</c:v>
                </c:pt>
                <c:pt idx="6">
                  <c:v>19.02</c:v>
                </c:pt>
                <c:pt idx="7">
                  <c:v>-13.37</c:v>
                </c:pt>
                <c:pt idx="8">
                  <c:v>-87.13</c:v>
                </c:pt>
                <c:pt idx="9">
                  <c:v>-24.16</c:v>
                </c:pt>
              </c:numCache>
            </c:numRef>
          </c:val>
          <c:extLst>
            <c:ext xmlns:c16="http://schemas.microsoft.com/office/drawing/2014/chart" uri="{C3380CC4-5D6E-409C-BE32-E72D297353CC}">
              <c16:uniqueId val="{00000000-F8B1-4C63-9621-E7F9F789D5F6}"/>
            </c:ext>
          </c:extLst>
        </c:ser>
        <c:dLbls>
          <c:showLegendKey val="0"/>
          <c:showVal val="0"/>
          <c:showCatName val="0"/>
          <c:showSerName val="0"/>
          <c:showPercent val="0"/>
          <c:showBubbleSize val="0"/>
        </c:dLbls>
        <c:gapWidth val="90"/>
        <c:axId val="122585472"/>
        <c:axId val="122587008"/>
      </c:barChart>
      <c:catAx>
        <c:axId val="122585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es-ES"/>
          </a:p>
        </c:txPr>
        <c:crossAx val="122587008"/>
        <c:crosses val="autoZero"/>
        <c:auto val="1"/>
        <c:lblAlgn val="ctr"/>
        <c:lblOffset val="100"/>
        <c:tickLblSkip val="1"/>
        <c:tickMarkSkip val="1"/>
        <c:noMultiLvlLbl val="0"/>
      </c:catAx>
      <c:valAx>
        <c:axId val="1225870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es-ES"/>
          </a:p>
        </c:txPr>
        <c:crossAx val="122585472"/>
        <c:crosses val="autoZero"/>
        <c:crossBetween val="between"/>
      </c:valAx>
      <c:spPr>
        <a:solidFill>
          <a:schemeClr val="bg2"/>
        </a:solidFill>
        <a:ln w="12700">
          <a:solidFill>
            <a:srgbClr val="808080"/>
          </a:solidFill>
          <a:prstDash val="solid"/>
        </a:ln>
      </c:spPr>
    </c:plotArea>
    <c:plotVisOnly val="1"/>
    <c:dispBlanksAs val="gap"/>
    <c:showDLblsOverMax val="0"/>
  </c:chart>
  <c:spPr>
    <a:solidFill>
      <a:schemeClr val="accent1">
        <a:lumMod val="20000"/>
        <a:lumOff val="80000"/>
      </a:schemeClr>
    </a:solidFill>
    <a:ln w="3175">
      <a:noFill/>
      <a:prstDash val="solid"/>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000000000001554" r="0.75000000000001554" t="1" header="0" footer="0"/>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114300</xdr:colOff>
      <xdr:row>34</xdr:row>
      <xdr:rowOff>123825</xdr:rowOff>
    </xdr:from>
    <xdr:to>
      <xdr:col>10</xdr:col>
      <xdr:colOff>552450</xdr:colOff>
      <xdr:row>69</xdr:row>
      <xdr:rowOff>114300</xdr:rowOff>
    </xdr:to>
    <xdr:graphicFrame macro="">
      <xdr:nvGraphicFramePr>
        <xdr:cNvPr id="61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325120</xdr:colOff>
      <xdr:row>23</xdr:row>
      <xdr:rowOff>91440</xdr:rowOff>
    </xdr:to>
    <xdr:pic>
      <xdr:nvPicPr>
        <xdr:cNvPr id="5" name="Imagen 4" descr="Logo Conselleria d'Hisenda i Relacions Exteriors COLOR"/>
        <xdr:cNvPicPr/>
      </xdr:nvPicPr>
      <xdr:blipFill>
        <a:blip xmlns:r="http://schemas.openxmlformats.org/officeDocument/2006/relationships" r:embed="rId2"/>
        <a:srcRect/>
        <a:stretch>
          <a:fillRect/>
        </a:stretch>
      </xdr:blipFill>
      <xdr:spPr bwMode="auto">
        <a:xfrm>
          <a:off x="0" y="0"/>
          <a:ext cx="1117600" cy="10058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704849</xdr:colOff>
      <xdr:row>10</xdr:row>
      <xdr:rowOff>9525</xdr:rowOff>
    </xdr:from>
    <xdr:to>
      <xdr:col>22</xdr:col>
      <xdr:colOff>400050</xdr:colOff>
      <xdr:row>30</xdr:row>
      <xdr:rowOff>28575</xdr:rowOff>
    </xdr:to>
    <xdr:graphicFrame macro="">
      <xdr:nvGraphicFramePr>
        <xdr:cNvPr id="635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751840</xdr:colOff>
      <xdr:row>5</xdr:row>
      <xdr:rowOff>10160</xdr:rowOff>
    </xdr:to>
    <xdr:pic>
      <xdr:nvPicPr>
        <xdr:cNvPr id="5" name="Imagen 4" descr="Logo Conselleria d'Hisenda i Relacions Exteriors COLOR"/>
        <xdr:cNvPicPr/>
      </xdr:nvPicPr>
      <xdr:blipFill>
        <a:blip xmlns:r="http://schemas.openxmlformats.org/officeDocument/2006/relationships" r:embed="rId2"/>
        <a:srcRect/>
        <a:stretch>
          <a:fillRect/>
        </a:stretch>
      </xdr:blipFill>
      <xdr:spPr bwMode="auto">
        <a:xfrm>
          <a:off x="0" y="0"/>
          <a:ext cx="1259840" cy="12090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1152524</xdr:colOff>
      <xdr:row>12</xdr:row>
      <xdr:rowOff>152400</xdr:rowOff>
    </xdr:from>
    <xdr:to>
      <xdr:col>22</xdr:col>
      <xdr:colOff>647700</xdr:colOff>
      <xdr:row>31</xdr:row>
      <xdr:rowOff>73025</xdr:rowOff>
    </xdr:to>
    <xdr:graphicFrame macro="">
      <xdr:nvGraphicFramePr>
        <xdr:cNvPr id="656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396240</xdr:colOff>
      <xdr:row>5</xdr:row>
      <xdr:rowOff>10160</xdr:rowOff>
    </xdr:to>
    <xdr:pic>
      <xdr:nvPicPr>
        <xdr:cNvPr id="4" name="Imagen 3" descr="Logo Conselleria d'Hisenda i Relacions Exteriors COLOR"/>
        <xdr:cNvPicPr/>
      </xdr:nvPicPr>
      <xdr:blipFill>
        <a:blip xmlns:r="http://schemas.openxmlformats.org/officeDocument/2006/relationships" r:embed="rId2"/>
        <a:srcRect/>
        <a:stretch>
          <a:fillRect/>
        </a:stretch>
      </xdr:blipFill>
      <xdr:spPr bwMode="auto">
        <a:xfrm>
          <a:off x="0" y="0"/>
          <a:ext cx="1188720" cy="120904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uevos%20cuadros%20Ctas.%20mensuale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uadros%20evolucion%20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HOS.RECONC.97-2006 "/>
      <sheetName val="OBLIGAG. RECON. 97 - 06 "/>
      <sheetName val="Liquidado"/>
      <sheetName val="Ahorro Liquidado"/>
      <sheetName val="Gr Ahorro Liquidado"/>
    </sheetNames>
    <sheetDataSet>
      <sheetData sheetId="0" refreshError="1">
        <row r="11">
          <cell r="B11">
            <v>334.99</v>
          </cell>
          <cell r="C11">
            <v>342.57</v>
          </cell>
          <cell r="D11">
            <v>322</v>
          </cell>
          <cell r="E11">
            <v>400.55</v>
          </cell>
          <cell r="F11">
            <v>422.68</v>
          </cell>
          <cell r="G11">
            <v>518.12</v>
          </cell>
          <cell r="H11">
            <v>558.59</v>
          </cell>
          <cell r="I11">
            <v>627.52</v>
          </cell>
          <cell r="J11">
            <v>700.37</v>
          </cell>
          <cell r="K11">
            <v>778.91</v>
          </cell>
        </row>
        <row r="12">
          <cell r="B12">
            <v>224.02</v>
          </cell>
          <cell r="C12">
            <v>261.42</v>
          </cell>
          <cell r="D12">
            <v>258.12</v>
          </cell>
          <cell r="E12">
            <v>1267.6600000000001</v>
          </cell>
          <cell r="F12">
            <v>1417</v>
          </cell>
          <cell r="G12">
            <v>1424.71</v>
          </cell>
          <cell r="H12">
            <v>1745.45</v>
          </cell>
          <cell r="I12">
            <v>1972.49</v>
          </cell>
          <cell r="J12">
            <v>2005.79</v>
          </cell>
          <cell r="K12">
            <v>1774.45</v>
          </cell>
        </row>
        <row r="13">
          <cell r="B13">
            <v>70.59</v>
          </cell>
          <cell r="C13">
            <v>79.099999999999994</v>
          </cell>
          <cell r="D13">
            <v>81.33</v>
          </cell>
          <cell r="E13">
            <v>86.79</v>
          </cell>
          <cell r="F13">
            <v>88.05</v>
          </cell>
          <cell r="G13">
            <v>88.06</v>
          </cell>
          <cell r="H13">
            <v>97.81</v>
          </cell>
          <cell r="I13">
            <v>100.32</v>
          </cell>
          <cell r="J13">
            <v>94.29</v>
          </cell>
          <cell r="K13">
            <v>90.66</v>
          </cell>
        </row>
        <row r="14">
          <cell r="B14">
            <v>164.27</v>
          </cell>
          <cell r="C14">
            <v>187.91</v>
          </cell>
          <cell r="D14">
            <v>195.72</v>
          </cell>
          <cell r="E14">
            <v>50.15</v>
          </cell>
          <cell r="F14">
            <v>114.54</v>
          </cell>
          <cell r="G14">
            <v>646.32000000000005</v>
          </cell>
          <cell r="H14">
            <v>86.69</v>
          </cell>
          <cell r="I14">
            <v>161.75</v>
          </cell>
          <cell r="J14">
            <v>165.69</v>
          </cell>
          <cell r="K14">
            <v>169.99</v>
          </cell>
        </row>
        <row r="15">
          <cell r="B15">
            <v>2.4300000000000002</v>
          </cell>
          <cell r="C15">
            <v>2.73</v>
          </cell>
          <cell r="D15">
            <v>2.4</v>
          </cell>
          <cell r="E15">
            <v>2.79</v>
          </cell>
          <cell r="F15">
            <v>2.34</v>
          </cell>
          <cell r="G15">
            <v>1.67</v>
          </cell>
          <cell r="H15">
            <v>1.28</v>
          </cell>
          <cell r="I15">
            <v>2.87</v>
          </cell>
          <cell r="J15">
            <v>3.73</v>
          </cell>
          <cell r="K15">
            <v>2.2200000000000002</v>
          </cell>
        </row>
        <row r="16">
          <cell r="B16">
            <v>0.19</v>
          </cell>
          <cell r="C16">
            <v>0.24</v>
          </cell>
          <cell r="D16">
            <v>7.0000000000000007E-2</v>
          </cell>
          <cell r="E16">
            <v>0.06</v>
          </cell>
          <cell r="F16">
            <v>0.11</v>
          </cell>
          <cell r="G16">
            <v>0.17</v>
          </cell>
          <cell r="H16">
            <v>0.95</v>
          </cell>
          <cell r="I16">
            <v>1.96</v>
          </cell>
          <cell r="J16">
            <v>0.12</v>
          </cell>
          <cell r="K16">
            <v>0.01</v>
          </cell>
        </row>
        <row r="17">
          <cell r="B17">
            <v>52.95</v>
          </cell>
          <cell r="C17">
            <v>61.18</v>
          </cell>
          <cell r="D17">
            <v>61.74</v>
          </cell>
          <cell r="E17">
            <v>50.176823060000004</v>
          </cell>
          <cell r="F17">
            <v>61.85</v>
          </cell>
          <cell r="G17">
            <v>64.64</v>
          </cell>
          <cell r="H17">
            <v>62.76</v>
          </cell>
          <cell r="I17">
            <v>44.6</v>
          </cell>
          <cell r="J17">
            <v>42.23</v>
          </cell>
          <cell r="K17">
            <v>59.97</v>
          </cell>
        </row>
        <row r="18">
          <cell r="B18">
            <v>0.28999999999999998</v>
          </cell>
          <cell r="C18">
            <v>0.36</v>
          </cell>
          <cell r="D18">
            <v>0.1</v>
          </cell>
          <cell r="E18">
            <v>4.7293730000000006E-2</v>
          </cell>
          <cell r="F18">
            <v>0.06</v>
          </cell>
          <cell r="G18">
            <v>0.04</v>
          </cell>
          <cell r="H18">
            <v>0.02</v>
          </cell>
          <cell r="I18">
            <v>0.01</v>
          </cell>
          <cell r="J18">
            <v>0</v>
          </cell>
          <cell r="K18">
            <v>0.05</v>
          </cell>
        </row>
        <row r="19">
          <cell r="B19">
            <v>50.382844710492471</v>
          </cell>
          <cell r="C19">
            <v>17.934201194812065</v>
          </cell>
          <cell r="D19">
            <v>143.11901241691007</v>
          </cell>
          <cell r="E19">
            <v>159.69</v>
          </cell>
          <cell r="F19">
            <v>6.19</v>
          </cell>
          <cell r="G19">
            <v>10.24</v>
          </cell>
          <cell r="H19">
            <v>362.28</v>
          </cell>
          <cell r="I19">
            <v>146.07</v>
          </cell>
          <cell r="J19">
            <v>98.72</v>
          </cell>
          <cell r="K19">
            <v>574.53</v>
          </cell>
        </row>
      </sheetData>
      <sheetData sheetId="1" refreshError="1">
        <row r="10">
          <cell r="B10">
            <v>302.3</v>
          </cell>
          <cell r="C10">
            <v>341.04</v>
          </cell>
          <cell r="D10">
            <v>373.26</v>
          </cell>
          <cell r="E10">
            <v>405.58</v>
          </cell>
          <cell r="F10">
            <v>457.76</v>
          </cell>
          <cell r="G10">
            <v>496.87</v>
          </cell>
          <cell r="H10">
            <v>520.9</v>
          </cell>
          <cell r="I10">
            <v>536.16</v>
          </cell>
          <cell r="J10">
            <v>585.14</v>
          </cell>
          <cell r="K10">
            <v>639.54999999999995</v>
          </cell>
        </row>
        <row r="11">
          <cell r="B11">
            <v>56.4</v>
          </cell>
          <cell r="C11">
            <v>61.17</v>
          </cell>
          <cell r="D11">
            <v>59.02</v>
          </cell>
          <cell r="E11">
            <v>63.02</v>
          </cell>
          <cell r="F11">
            <v>78.150000000000006</v>
          </cell>
          <cell r="G11">
            <v>65.06</v>
          </cell>
          <cell r="H11">
            <v>79.930000000000007</v>
          </cell>
          <cell r="I11">
            <v>94.77</v>
          </cell>
          <cell r="J11">
            <v>104.55</v>
          </cell>
          <cell r="K11">
            <v>101.79</v>
          </cell>
        </row>
        <row r="12">
          <cell r="B12">
            <v>16.55</v>
          </cell>
          <cell r="C12">
            <v>16.170000000000002</v>
          </cell>
          <cell r="D12">
            <v>17.72</v>
          </cell>
          <cell r="E12">
            <v>20.52</v>
          </cell>
          <cell r="F12">
            <v>24.23</v>
          </cell>
          <cell r="G12">
            <v>26.9</v>
          </cell>
          <cell r="H12">
            <v>32.44</v>
          </cell>
          <cell r="I12">
            <v>42.24</v>
          </cell>
          <cell r="J12">
            <v>46.32</v>
          </cell>
          <cell r="K12">
            <v>62.69</v>
          </cell>
        </row>
        <row r="13">
          <cell r="B13">
            <v>171.41</v>
          </cell>
          <cell r="C13">
            <v>215.79</v>
          </cell>
          <cell r="D13">
            <v>248.8</v>
          </cell>
          <cell r="E13">
            <v>1041.51</v>
          </cell>
          <cell r="F13">
            <v>1133.8699999999999</v>
          </cell>
          <cell r="G13">
            <v>1185.1600000000001</v>
          </cell>
          <cell r="H13">
            <v>1690.74</v>
          </cell>
          <cell r="I13">
            <v>1706.6</v>
          </cell>
          <cell r="J13">
            <v>1930.86</v>
          </cell>
          <cell r="K13">
            <v>2105.65</v>
          </cell>
        </row>
        <row r="14">
          <cell r="B14">
            <v>139.66</v>
          </cell>
          <cell r="C14">
            <v>133.41999999999999</v>
          </cell>
          <cell r="D14">
            <v>144.22999999999999</v>
          </cell>
          <cell r="E14">
            <v>184.18</v>
          </cell>
          <cell r="F14">
            <v>160.66999999999999</v>
          </cell>
          <cell r="G14">
            <v>249.35</v>
          </cell>
          <cell r="H14">
            <v>312.64999999999998</v>
          </cell>
          <cell r="I14">
            <v>207.38</v>
          </cell>
          <cell r="J14">
            <v>225.1</v>
          </cell>
          <cell r="K14">
            <v>222.06</v>
          </cell>
        </row>
        <row r="15">
          <cell r="B15">
            <v>140.66999999999999</v>
          </cell>
          <cell r="C15">
            <v>158.99</v>
          </cell>
          <cell r="D15">
            <v>156</v>
          </cell>
          <cell r="E15">
            <v>264.56</v>
          </cell>
          <cell r="F15">
            <v>268.85000000000002</v>
          </cell>
          <cell r="G15">
            <v>280.33</v>
          </cell>
          <cell r="H15">
            <v>268.79000000000002</v>
          </cell>
          <cell r="I15">
            <v>327.37</v>
          </cell>
          <cell r="J15">
            <v>372.59</v>
          </cell>
          <cell r="K15">
            <v>460.62</v>
          </cell>
        </row>
        <row r="16">
          <cell r="B16">
            <v>3.53</v>
          </cell>
          <cell r="C16">
            <v>6.87</v>
          </cell>
          <cell r="D16">
            <v>10.26</v>
          </cell>
          <cell r="E16">
            <v>8.92</v>
          </cell>
          <cell r="F16">
            <v>5.37</v>
          </cell>
          <cell r="G16">
            <v>1</v>
          </cell>
          <cell r="H16">
            <v>3.22</v>
          </cell>
          <cell r="I16">
            <v>0.67</v>
          </cell>
          <cell r="J16">
            <v>0.38</v>
          </cell>
          <cell r="K16">
            <v>1.28</v>
          </cell>
        </row>
        <row r="17">
          <cell r="B17">
            <v>50.38</v>
          </cell>
          <cell r="C17">
            <v>8.93</v>
          </cell>
          <cell r="D17">
            <v>4.01</v>
          </cell>
          <cell r="E17">
            <v>4.01</v>
          </cell>
          <cell r="F17">
            <v>6.19</v>
          </cell>
          <cell r="G17">
            <v>10.24</v>
          </cell>
          <cell r="H17">
            <v>42.27</v>
          </cell>
          <cell r="I17">
            <v>42.07</v>
          </cell>
          <cell r="J17">
            <v>42.07</v>
          </cell>
          <cell r="K17">
            <v>42.07</v>
          </cell>
        </row>
      </sheetData>
      <sheetData sheetId="2" refreshError="1">
        <row r="10">
          <cell r="B10">
            <v>796.3</v>
          </cell>
          <cell r="D10">
            <v>873.73</v>
          </cell>
          <cell r="F10">
            <v>859.57</v>
          </cell>
          <cell r="H10">
            <v>1807.94</v>
          </cell>
          <cell r="J10">
            <v>2044.61</v>
          </cell>
          <cell r="L10">
            <v>2678.88</v>
          </cell>
          <cell r="N10">
            <v>2489.8200000000002</v>
          </cell>
          <cell r="P10">
            <v>2864.9500000000003</v>
          </cell>
          <cell r="R10">
            <v>2969.87</v>
          </cell>
          <cell r="T10">
            <v>2816.23</v>
          </cell>
        </row>
        <row r="13">
          <cell r="B13">
            <v>53.14</v>
          </cell>
          <cell r="D13">
            <v>61.42</v>
          </cell>
          <cell r="F13">
            <v>61.81</v>
          </cell>
          <cell r="H13">
            <v>50.236823060000006</v>
          </cell>
          <cell r="J13">
            <v>61.96</v>
          </cell>
          <cell r="L13">
            <v>64.81</v>
          </cell>
          <cell r="N13">
            <v>63.71</v>
          </cell>
          <cell r="P13">
            <v>46.56</v>
          </cell>
          <cell r="R13">
            <v>42.349999999999994</v>
          </cell>
          <cell r="T13">
            <v>59.98</v>
          </cell>
        </row>
        <row r="14">
          <cell r="B14">
            <v>849.43999999999994</v>
          </cell>
          <cell r="D14">
            <v>935.15</v>
          </cell>
          <cell r="F14">
            <v>921.38000000000011</v>
          </cell>
          <cell r="H14">
            <v>1858.1768230600001</v>
          </cell>
          <cell r="J14">
            <v>2106.5699999999997</v>
          </cell>
          <cell r="L14">
            <v>2743.69</v>
          </cell>
          <cell r="N14">
            <v>2553.5300000000002</v>
          </cell>
          <cell r="P14">
            <v>2911.51</v>
          </cell>
          <cell r="R14">
            <v>3012.22</v>
          </cell>
          <cell r="T14">
            <v>2876.21</v>
          </cell>
        </row>
        <row r="27">
          <cell r="B27">
            <v>16.55</v>
          </cell>
          <cell r="D27">
            <v>16.170000000000002</v>
          </cell>
          <cell r="F27">
            <v>17.72</v>
          </cell>
          <cell r="H27">
            <v>20.52</v>
          </cell>
          <cell r="J27">
            <v>24.23</v>
          </cell>
          <cell r="L27">
            <v>26.9</v>
          </cell>
          <cell r="N27">
            <v>32.44</v>
          </cell>
          <cell r="P27">
            <v>42.24</v>
          </cell>
          <cell r="R27">
            <v>46.32</v>
          </cell>
          <cell r="T27">
            <v>62.69</v>
          </cell>
        </row>
        <row r="29">
          <cell r="B29">
            <v>546.66</v>
          </cell>
          <cell r="D29">
            <v>634.17000000000007</v>
          </cell>
          <cell r="F29">
            <v>698.8</v>
          </cell>
          <cell r="H29">
            <v>1530.6299999999999</v>
          </cell>
          <cell r="J29">
            <v>1694.0099999999998</v>
          </cell>
          <cell r="L29">
            <v>1773.9900000000002</v>
          </cell>
          <cell r="N29">
            <v>2324.0100000000002</v>
          </cell>
          <cell r="P29">
            <v>2379.77</v>
          </cell>
          <cell r="R29">
            <v>2666.87</v>
          </cell>
          <cell r="T29">
            <v>2909.6800000000003</v>
          </cell>
        </row>
        <row r="32">
          <cell r="B32">
            <v>280.33</v>
          </cell>
          <cell r="D32">
            <v>292.40999999999997</v>
          </cell>
          <cell r="F32">
            <v>300.23</v>
          </cell>
          <cell r="H32">
            <v>448.74</v>
          </cell>
          <cell r="J32">
            <v>429.52</v>
          </cell>
          <cell r="L32">
            <v>529.67999999999995</v>
          </cell>
          <cell r="N32">
            <v>581.44000000000005</v>
          </cell>
          <cell r="P32">
            <v>534.75</v>
          </cell>
          <cell r="R32">
            <v>597.68999999999994</v>
          </cell>
          <cell r="T32">
            <v>682.68000000000006</v>
          </cell>
        </row>
        <row r="33">
          <cell r="B33">
            <v>826.99</v>
          </cell>
          <cell r="D33">
            <v>926.58</v>
          </cell>
          <cell r="F33">
            <v>999.03</v>
          </cell>
          <cell r="H33">
            <v>1979.37</v>
          </cell>
          <cell r="J33">
            <v>2123.5299999999997</v>
          </cell>
          <cell r="L33">
            <v>2303.67</v>
          </cell>
          <cell r="N33">
            <v>2905.4500000000003</v>
          </cell>
          <cell r="P33">
            <v>2914.52</v>
          </cell>
          <cell r="R33">
            <v>3264.56</v>
          </cell>
          <cell r="T33">
            <v>3592.3600000000006</v>
          </cell>
        </row>
        <row r="36">
          <cell r="B36">
            <v>50.38</v>
          </cell>
          <cell r="D36">
            <v>8.93</v>
          </cell>
          <cell r="F36">
            <v>4.01</v>
          </cell>
          <cell r="H36">
            <v>4.01</v>
          </cell>
          <cell r="J36">
            <v>6.19</v>
          </cell>
          <cell r="L36">
            <v>10.24</v>
          </cell>
          <cell r="N36">
            <v>42.27</v>
          </cell>
          <cell r="P36">
            <v>42.07</v>
          </cell>
          <cell r="R36">
            <v>42.07</v>
          </cell>
          <cell r="T36">
            <v>42.07</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ACION INGRESOS 2000-09"/>
      <sheetName val="LIQUIDACION GASTOS 2000-09 "/>
      <sheetName val="DCHOS.RECONC.2000-09 "/>
      <sheetName val="OBLIGAG. RECON. 2000-09 "/>
      <sheetName val="DCHOS.CTE-NVERSION 2000-09"/>
      <sheetName val="gasto cte.-inversion 2000-09"/>
      <sheetName val="LIQUIDACION INGRESOS 2000-09 2"/>
      <sheetName val="oblig. rec. grados comp 2000-09"/>
      <sheetName val="GTOS.OBLIG+CARGA FIN. 2000-09"/>
      <sheetName val="Ahorro bruto-neto 2000-09"/>
      <sheetName val="Rdo. ejercio 2000-09 "/>
      <sheetName val="Rdo.ejerc.no financiero 2000-09"/>
      <sheetName val="REMANENTE TESORERIA 2000-09"/>
      <sheetName val="capitulo 6 y 9 ING-GTOS 2000-09"/>
      <sheetName val="capitulo 9  2000-09"/>
      <sheetName val="evolucion oblig.cap.4 2000-09"/>
      <sheetName val="evolucion oblig.cap.7 2000-09"/>
      <sheetName val="capitulo 4 y 7  GTOS. 2000-09"/>
      <sheetName val="TRANSF.CTE.I CAPI. EEPP 2000-09"/>
      <sheetName val="capitulo 6 y 7  GTOS. 2000-09"/>
      <sheetName val="Oblig. compr. plurian. 2000-09"/>
      <sheetName val="Deuda viva 2000-09 "/>
      <sheetName val="Riesgo efectivo 2000-09 JG"/>
      <sheetName val="Liquidado  2000-09"/>
      <sheetName val="Ahorro Liquidado 2000-09 "/>
      <sheetName val="Gr Ahorro Liquidado 2000-09"/>
      <sheetName val="Deficit Liquidado 2000-09"/>
      <sheetName val="Cobert. inver. Liquid. 2000-09"/>
      <sheetName val="EVOL. EE.PP.CONS.FUND.2000-09"/>
      <sheetName val="Evol. fondos prop 2000-09"/>
      <sheetName val="Evol. resultados 2000-09"/>
      <sheetName val="Datos Tributos Cedidos"/>
      <sheetName val="Datos resul Entid CAIB"/>
      <sheetName val="Entidades CAIB fondos p"/>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C38">
            <v>290.33692738571756</v>
          </cell>
        </row>
      </sheetData>
      <sheetData sheetId="32">
        <row r="40">
          <cell r="B40">
            <v>7.2423606157831761</v>
          </cell>
          <cell r="C40">
            <v>-15.539172840000001</v>
          </cell>
          <cell r="D40">
            <v>-11.567337720000001</v>
          </cell>
          <cell r="E40">
            <v>-23.445738310000003</v>
          </cell>
        </row>
      </sheetData>
      <sheetData sheetId="33"/>
      <sheetData sheetId="34"/>
      <sheetData sheetId="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4"/>
  <sheetViews>
    <sheetView topLeftCell="E1" workbookViewId="0">
      <selection activeCell="M19" sqref="M19"/>
    </sheetView>
  </sheetViews>
  <sheetFormatPr baseColWidth="10" defaultRowHeight="12.75" x14ac:dyDescent="0.2"/>
  <cols>
    <col min="1" max="1" width="29.140625" customWidth="1"/>
    <col min="2" max="2" width="12.28515625" hidden="1" customWidth="1"/>
    <col min="3" max="3" width="13.42578125" hidden="1" customWidth="1"/>
    <col min="4" max="9" width="13.42578125" bestFit="1" customWidth="1"/>
    <col min="10" max="11" width="15.42578125" bestFit="1" customWidth="1"/>
    <col min="12" max="12" width="15.140625" bestFit="1" customWidth="1"/>
    <col min="13" max="13" width="15.140625" customWidth="1"/>
  </cols>
  <sheetData>
    <row r="1" spans="1:13" ht="18" customHeight="1" x14ac:dyDescent="0.2"/>
    <row r="2" spans="1:13" ht="18" customHeight="1" x14ac:dyDescent="0.2"/>
    <row r="3" spans="1:13" ht="18" customHeight="1" x14ac:dyDescent="0.2"/>
    <row r="4" spans="1:13" ht="18" customHeight="1" x14ac:dyDescent="0.3">
      <c r="A4" s="250" t="s">
        <v>7</v>
      </c>
      <c r="B4" s="250"/>
      <c r="C4" s="250"/>
      <c r="D4" s="250"/>
      <c r="E4" s="250"/>
      <c r="F4" s="250"/>
      <c r="G4" s="250"/>
      <c r="H4" s="250"/>
      <c r="I4" s="250"/>
      <c r="J4" s="250"/>
      <c r="K4" s="250"/>
      <c r="L4" s="250"/>
      <c r="M4" s="250"/>
    </row>
    <row r="5" spans="1:13" ht="18" customHeight="1" x14ac:dyDescent="0.2"/>
    <row r="6" spans="1:13" ht="18" customHeight="1" x14ac:dyDescent="0.2">
      <c r="A6" s="16" t="s">
        <v>5</v>
      </c>
    </row>
    <row r="7" spans="1:13" ht="18" customHeight="1" x14ac:dyDescent="0.2"/>
    <row r="8" spans="1:13" s="28" customFormat="1" ht="18" customHeight="1" x14ac:dyDescent="0.3">
      <c r="B8" s="30">
        <v>1999</v>
      </c>
      <c r="C8" s="30">
        <v>2000</v>
      </c>
      <c r="D8" s="30">
        <v>2001</v>
      </c>
      <c r="E8" s="30">
        <v>2002</v>
      </c>
      <c r="F8" s="30">
        <v>2003</v>
      </c>
      <c r="G8" s="30">
        <v>2004</v>
      </c>
      <c r="H8" s="30">
        <v>2005</v>
      </c>
      <c r="I8" s="48">
        <v>2006</v>
      </c>
      <c r="J8" s="48">
        <v>2007</v>
      </c>
      <c r="K8" s="48">
        <v>2008</v>
      </c>
      <c r="L8" s="48">
        <v>2009</v>
      </c>
      <c r="M8" s="48">
        <v>2010</v>
      </c>
    </row>
    <row r="9" spans="1:13" s="28" customFormat="1" ht="9" customHeight="1" thickBot="1" x14ac:dyDescent="0.35">
      <c r="A9" s="26"/>
      <c r="B9" s="26"/>
      <c r="C9" s="26"/>
      <c r="D9" s="26"/>
      <c r="E9" s="26"/>
      <c r="F9" s="26"/>
      <c r="G9" s="26"/>
      <c r="H9" s="26"/>
      <c r="I9" s="67"/>
      <c r="J9" s="67"/>
      <c r="K9" s="67"/>
      <c r="L9" s="26"/>
      <c r="M9" s="26"/>
    </row>
    <row r="10" spans="1:13" s="28" customFormat="1" ht="9" customHeight="1" thickTop="1" x14ac:dyDescent="0.3">
      <c r="I10" s="66"/>
      <c r="J10" s="66"/>
      <c r="K10" s="66"/>
    </row>
    <row r="11" spans="1:13" s="58" customFormat="1" ht="36" customHeight="1" x14ac:dyDescent="0.2">
      <c r="A11" s="50" t="s">
        <v>8</v>
      </c>
      <c r="B11" s="62">
        <v>148.71</v>
      </c>
      <c r="C11" s="214">
        <v>145.72</v>
      </c>
      <c r="D11" s="204">
        <v>184.83</v>
      </c>
      <c r="E11" s="204">
        <v>225.73</v>
      </c>
      <c r="F11" s="204">
        <v>275.81</v>
      </c>
      <c r="G11" s="204">
        <v>360.82</v>
      </c>
      <c r="H11" s="204">
        <v>638.41</v>
      </c>
      <c r="I11" s="204">
        <v>789.31</v>
      </c>
      <c r="J11" s="204">
        <v>905.87</v>
      </c>
      <c r="K11" s="204">
        <v>1026.52</v>
      </c>
      <c r="L11" s="204">
        <v>973.01</v>
      </c>
      <c r="M11" s="204">
        <v>1004.51</v>
      </c>
    </row>
    <row r="12" spans="1:13" s="58" customFormat="1" ht="36.75" customHeight="1" x14ac:dyDescent="0.2">
      <c r="A12" s="49" t="s">
        <v>9</v>
      </c>
      <c r="B12" s="69"/>
      <c r="C12" s="204">
        <v>23.86</v>
      </c>
      <c r="D12" s="204">
        <v>14.73</v>
      </c>
      <c r="E12" s="204">
        <v>22.43</v>
      </c>
      <c r="F12" s="204">
        <v>39.71</v>
      </c>
      <c r="G12" s="204">
        <v>56.07</v>
      </c>
      <c r="H12" s="204">
        <v>63.24</v>
      </c>
      <c r="I12" s="204">
        <v>73.64</v>
      </c>
      <c r="J12" s="204">
        <v>78.89</v>
      </c>
      <c r="K12" s="204">
        <v>109.05</v>
      </c>
      <c r="L12" s="204">
        <v>130.74</v>
      </c>
      <c r="M12" s="204">
        <v>142.63</v>
      </c>
    </row>
    <row r="13" spans="1:13" s="58" customFormat="1" ht="36" customHeight="1" x14ac:dyDescent="0.2">
      <c r="A13" s="49" t="s">
        <v>14</v>
      </c>
      <c r="B13" s="69">
        <v>0.31</v>
      </c>
      <c r="C13" s="205">
        <v>0.24</v>
      </c>
      <c r="D13" s="205">
        <v>0.16</v>
      </c>
      <c r="E13" s="205">
        <v>0.08</v>
      </c>
      <c r="F13" s="205">
        <v>0.3</v>
      </c>
      <c r="G13" s="205">
        <v>4.38</v>
      </c>
      <c r="H13" s="205">
        <v>7.2743796899999991</v>
      </c>
      <c r="I13" s="206">
        <v>5.36</v>
      </c>
      <c r="J13" s="206">
        <v>1.1399999999999999</v>
      </c>
      <c r="K13" s="206">
        <v>0.04</v>
      </c>
      <c r="L13" s="205">
        <v>0.02</v>
      </c>
      <c r="M13" s="205">
        <v>0.54</v>
      </c>
    </row>
    <row r="14" spans="1:13" s="58" customFormat="1" ht="30.75" customHeight="1" x14ac:dyDescent="0.2">
      <c r="A14" s="49" t="s">
        <v>10</v>
      </c>
      <c r="B14" s="63"/>
      <c r="C14" s="205">
        <v>55.255624550964718</v>
      </c>
      <c r="D14" s="205">
        <v>67.688492925912371</v>
      </c>
      <c r="E14" s="205">
        <v>83.902399306750738</v>
      </c>
      <c r="F14" s="205">
        <v>91.607534272421475</v>
      </c>
      <c r="G14" s="205">
        <v>87.463692319661646</v>
      </c>
      <c r="H14" s="205">
        <v>83.200056949593957</v>
      </c>
      <c r="I14" s="206">
        <v>121.05817129657741</v>
      </c>
      <c r="J14" s="206">
        <v>167.67494501535921</v>
      </c>
      <c r="K14" s="206">
        <v>182.26287569787286</v>
      </c>
      <c r="L14" s="205">
        <v>199.16257847940491</v>
      </c>
      <c r="M14" s="205">
        <v>185.43</v>
      </c>
    </row>
    <row r="15" spans="1:13" s="58" customFormat="1" ht="30" customHeight="1" x14ac:dyDescent="0.2">
      <c r="A15" s="52" t="s">
        <v>11</v>
      </c>
      <c r="C15" s="207"/>
      <c r="D15" s="207">
        <v>3.61</v>
      </c>
      <c r="E15" s="207">
        <v>3.35</v>
      </c>
      <c r="F15" s="207">
        <v>3.09</v>
      </c>
      <c r="G15" s="207">
        <v>2.83</v>
      </c>
      <c r="H15" s="207">
        <v>2.83</v>
      </c>
      <c r="I15" s="208">
        <v>2.83</v>
      </c>
      <c r="J15" s="208">
        <v>2.83</v>
      </c>
      <c r="K15" s="208">
        <v>2.83</v>
      </c>
      <c r="L15" s="208">
        <v>2.83</v>
      </c>
      <c r="M15" s="208">
        <v>2.58</v>
      </c>
    </row>
    <row r="16" spans="1:13" s="28" customFormat="1" ht="9" customHeight="1" thickBot="1" x14ac:dyDescent="0.35">
      <c r="A16" s="26"/>
      <c r="B16" s="26"/>
      <c r="C16" s="209"/>
      <c r="D16" s="209"/>
      <c r="E16" s="209"/>
      <c r="F16" s="209"/>
      <c r="G16" s="209"/>
      <c r="H16" s="210"/>
      <c r="I16" s="211"/>
      <c r="J16" s="211"/>
      <c r="K16" s="211"/>
      <c r="L16" s="212"/>
      <c r="M16" s="212"/>
    </row>
    <row r="17" spans="1:13" s="58" customFormat="1" ht="30" customHeight="1" thickTop="1" thickBot="1" x14ac:dyDescent="0.25">
      <c r="A17" s="55" t="s">
        <v>12</v>
      </c>
      <c r="B17" s="55">
        <v>149.02000000000001</v>
      </c>
      <c r="C17" s="213">
        <v>225.0756245509647</v>
      </c>
      <c r="D17" s="213">
        <f>SUM(D11:D15)</f>
        <v>271.01849292591237</v>
      </c>
      <c r="E17" s="213">
        <f>SUM(E11:E16)</f>
        <v>335.49239930675077</v>
      </c>
      <c r="F17" s="213">
        <f t="shared" ref="F17:M17" si="0">SUM(F11:F15)</f>
        <v>410.51753427242141</v>
      </c>
      <c r="G17" s="213">
        <f t="shared" si="0"/>
        <v>511.56369231966158</v>
      </c>
      <c r="H17" s="213">
        <f t="shared" si="0"/>
        <v>794.95443663959406</v>
      </c>
      <c r="I17" s="213">
        <f t="shared" si="0"/>
        <v>992.19817129657736</v>
      </c>
      <c r="J17" s="213">
        <f t="shared" si="0"/>
        <v>1156.4049450153591</v>
      </c>
      <c r="K17" s="213">
        <f t="shared" si="0"/>
        <v>1320.7028756978727</v>
      </c>
      <c r="L17" s="213">
        <f t="shared" si="0"/>
        <v>1305.7625784794047</v>
      </c>
      <c r="M17" s="213">
        <f t="shared" si="0"/>
        <v>1335.6899999999998</v>
      </c>
    </row>
    <row r="18" spans="1:13" s="28" customFormat="1" ht="19.5" thickTop="1" x14ac:dyDescent="0.3">
      <c r="D18" s="216"/>
      <c r="K18" s="216"/>
      <c r="L18" s="216"/>
    </row>
    <row r="19" spans="1:13" s="28" customFormat="1" ht="18.75" x14ac:dyDescent="0.3"/>
    <row r="20" spans="1:13" s="28" customFormat="1" ht="18.75" x14ac:dyDescent="0.3">
      <c r="A20" s="251" t="s">
        <v>55</v>
      </c>
      <c r="B20" s="252"/>
      <c r="C20" s="252"/>
      <c r="D20" s="252"/>
      <c r="E20" s="252"/>
      <c r="F20" s="252"/>
      <c r="G20" s="252"/>
      <c r="H20" s="252"/>
      <c r="I20" s="252"/>
      <c r="J20" s="252"/>
      <c r="K20" s="252"/>
      <c r="L20" s="253"/>
      <c r="M20" s="253"/>
    </row>
    <row r="21" spans="1:13" s="13" customFormat="1" ht="15.75" x14ac:dyDescent="0.25">
      <c r="A21" s="252"/>
      <c r="B21" s="252"/>
      <c r="C21" s="252"/>
      <c r="D21" s="252"/>
      <c r="E21" s="252"/>
      <c r="F21" s="252"/>
      <c r="G21" s="252"/>
      <c r="H21" s="252"/>
      <c r="I21" s="252"/>
      <c r="J21" s="252"/>
      <c r="K21" s="252"/>
      <c r="L21" s="253"/>
      <c r="M21" s="253"/>
    </row>
    <row r="22" spans="1:13" s="28" customFormat="1" ht="18.75" x14ac:dyDescent="0.3">
      <c r="A22" s="59" t="s">
        <v>13</v>
      </c>
    </row>
    <row r="23" spans="1:13" s="28" customFormat="1" ht="18.75" x14ac:dyDescent="0.3"/>
    <row r="24" spans="1:13" s="28" customFormat="1" ht="18.75" x14ac:dyDescent="0.3"/>
  </sheetData>
  <mergeCells count="2">
    <mergeCell ref="A4:M4"/>
    <mergeCell ref="A20:M21"/>
  </mergeCells>
  <pageMargins left="0.70866141732283472" right="0.70866141732283472" top="0.74803149606299213" bottom="0.74803149606299213" header="0.31496062992125984" footer="0.31496062992125984"/>
  <pageSetup paperSize="9" scale="76" orientation="landscape" horizontalDpi="429496729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5" sqref="I15"/>
    </sheetView>
  </sheetViews>
  <sheetFormatPr baseColWidth="10" defaultRowHeight="12.75" x14ac:dyDescent="0.2"/>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GridLines="0" workbookViewId="0">
      <selection activeCell="L24" sqref="L24"/>
    </sheetView>
  </sheetViews>
  <sheetFormatPr baseColWidth="10" defaultColWidth="11.42578125" defaultRowHeight="12.75" x14ac:dyDescent="0.2"/>
  <cols>
    <col min="1" max="1" width="37.7109375" style="171" customWidth="1"/>
    <col min="2" max="5" width="10.7109375" style="170" hidden="1" customWidth="1"/>
    <col min="6" max="8" width="10.7109375" style="170" customWidth="1"/>
    <col min="9" max="11" width="11.7109375" style="170" customWidth="1"/>
    <col min="12" max="16384" width="11.42578125" style="170"/>
  </cols>
  <sheetData>
    <row r="1" spans="1:15" ht="23.25" customHeight="1" x14ac:dyDescent="0.2">
      <c r="A1" s="254" t="s">
        <v>54</v>
      </c>
      <c r="B1" s="255"/>
      <c r="C1" s="255"/>
      <c r="D1" s="255"/>
      <c r="E1" s="255"/>
      <c r="F1" s="255"/>
      <c r="G1" s="255"/>
      <c r="H1" s="255"/>
      <c r="I1" s="255"/>
      <c r="J1" s="255"/>
      <c r="K1" s="255"/>
      <c r="L1" s="255"/>
      <c r="M1" s="255"/>
      <c r="N1" s="256"/>
    </row>
    <row r="2" spans="1:15" ht="23.25" customHeight="1" x14ac:dyDescent="0.2">
      <c r="A2" s="257"/>
      <c r="B2" s="258"/>
      <c r="C2" s="258"/>
      <c r="D2" s="258"/>
      <c r="E2" s="258"/>
      <c r="F2" s="258"/>
      <c r="G2" s="258"/>
      <c r="H2" s="258"/>
      <c r="I2" s="258"/>
      <c r="J2" s="258"/>
      <c r="K2" s="258"/>
      <c r="L2" s="258"/>
      <c r="M2" s="258"/>
      <c r="N2" s="259"/>
    </row>
    <row r="4" spans="1:15" x14ac:dyDescent="0.2">
      <c r="A4" s="46" t="s">
        <v>5</v>
      </c>
      <c r="B4" s="172">
        <v>1999</v>
      </c>
      <c r="C4" s="172">
        <v>2000</v>
      </c>
      <c r="D4" s="172">
        <v>2001</v>
      </c>
      <c r="E4" s="172">
        <v>2002</v>
      </c>
      <c r="F4" s="172">
        <v>2003</v>
      </c>
      <c r="G4" s="172">
        <v>2004</v>
      </c>
      <c r="H4" s="172">
        <v>2005</v>
      </c>
      <c r="I4" s="172">
        <v>2006</v>
      </c>
      <c r="J4" s="172">
        <v>2007</v>
      </c>
      <c r="K4" s="172">
        <v>2008</v>
      </c>
      <c r="L4" s="172">
        <v>2009</v>
      </c>
      <c r="M4" s="172">
        <v>2010</v>
      </c>
      <c r="N4" s="172">
        <v>2011</v>
      </c>
      <c r="O4" s="172">
        <v>2012</v>
      </c>
    </row>
    <row r="5" spans="1:15" x14ac:dyDescent="0.2">
      <c r="A5" s="173" t="s">
        <v>23</v>
      </c>
      <c r="B5" s="174">
        <f>[1]Liquidado!B10</f>
        <v>796.3</v>
      </c>
      <c r="C5" s="174">
        <f>[1]Liquidado!D10</f>
        <v>873.73</v>
      </c>
      <c r="D5" s="174">
        <f>[1]Liquidado!F10</f>
        <v>859.57</v>
      </c>
      <c r="E5" s="174">
        <f>[1]Liquidado!H10</f>
        <v>1807.94</v>
      </c>
      <c r="F5" s="174">
        <f>[1]Liquidado!J10</f>
        <v>2044.61</v>
      </c>
      <c r="G5" s="174">
        <f>[1]Liquidado!L10</f>
        <v>2678.88</v>
      </c>
      <c r="H5" s="174">
        <f>[1]Liquidado!N10</f>
        <v>2489.8200000000002</v>
      </c>
      <c r="I5" s="174">
        <f>[1]Liquidado!P10</f>
        <v>2864.9500000000003</v>
      </c>
      <c r="J5" s="174">
        <f>[1]Liquidado!R10</f>
        <v>2969.87</v>
      </c>
      <c r="K5" s="177">
        <f>[1]Liquidado!T10</f>
        <v>2816.23</v>
      </c>
      <c r="L5" s="177" t="e">
        <f>'Liquidado  2002-11'!V10</f>
        <v>#REF!</v>
      </c>
      <c r="M5" s="174" t="e">
        <f>'Liquidado  2002-11'!X10</f>
        <v>#REF!</v>
      </c>
      <c r="N5" s="175" t="e">
        <f>'Liquidado  2002-11'!Z10</f>
        <v>#REF!</v>
      </c>
      <c r="O5" s="175">
        <v>3906.23</v>
      </c>
    </row>
    <row r="6" spans="1:15" x14ac:dyDescent="0.2">
      <c r="A6" s="176" t="s">
        <v>36</v>
      </c>
      <c r="B6" s="177">
        <f>[1]Liquidado!B29</f>
        <v>546.66</v>
      </c>
      <c r="C6" s="177">
        <f>[1]Liquidado!D29</f>
        <v>634.17000000000007</v>
      </c>
      <c r="D6" s="177">
        <f>[1]Liquidado!F29</f>
        <v>698.8</v>
      </c>
      <c r="E6" s="177">
        <f>[1]Liquidado!H29</f>
        <v>1530.6299999999999</v>
      </c>
      <c r="F6" s="177">
        <f>[1]Liquidado!J29</f>
        <v>1694.0099999999998</v>
      </c>
      <c r="G6" s="177">
        <f>[1]Liquidado!L29</f>
        <v>1773.9900000000002</v>
      </c>
      <c r="H6" s="177">
        <f>[1]Liquidado!N29</f>
        <v>2324.0100000000002</v>
      </c>
      <c r="I6" s="177">
        <f>[1]Liquidado!P29</f>
        <v>2379.77</v>
      </c>
      <c r="J6" s="177">
        <f>[1]Liquidado!R29</f>
        <v>2666.87</v>
      </c>
      <c r="K6" s="177">
        <f>[1]Liquidado!T29</f>
        <v>2909.6800000000003</v>
      </c>
      <c r="L6" s="215" t="e">
        <f>'Liquidado  2002-11'!V29</f>
        <v>#REF!</v>
      </c>
      <c r="M6" s="215" t="e">
        <f>'Liquidado  2002-11'!X29</f>
        <v>#REF!</v>
      </c>
      <c r="N6" s="197" t="e">
        <f>'Liquidado  2002-11'!Z29</f>
        <v>#REF!</v>
      </c>
      <c r="O6" s="197">
        <v>3956.96</v>
      </c>
    </row>
    <row r="7" spans="1:15" x14ac:dyDescent="0.2">
      <c r="A7" s="179" t="s">
        <v>43</v>
      </c>
      <c r="B7" s="180">
        <f t="shared" ref="B7:N7" si="0">B5-B6</f>
        <v>249.64</v>
      </c>
      <c r="C7" s="180">
        <f t="shared" si="0"/>
        <v>239.55999999999995</v>
      </c>
      <c r="D7" s="180">
        <f t="shared" si="0"/>
        <v>160.7700000000001</v>
      </c>
      <c r="E7" s="180">
        <f t="shared" si="0"/>
        <v>277.31000000000017</v>
      </c>
      <c r="F7" s="180">
        <f t="shared" si="0"/>
        <v>350.60000000000014</v>
      </c>
      <c r="G7" s="180">
        <f t="shared" si="0"/>
        <v>904.88999999999987</v>
      </c>
      <c r="H7" s="180">
        <f t="shared" si="0"/>
        <v>165.80999999999995</v>
      </c>
      <c r="I7" s="180">
        <f t="shared" si="0"/>
        <v>485.18000000000029</v>
      </c>
      <c r="J7" s="180">
        <f t="shared" si="0"/>
        <v>303</v>
      </c>
      <c r="K7" s="180">
        <f t="shared" si="0"/>
        <v>-93.450000000000273</v>
      </c>
      <c r="L7" s="180" t="e">
        <f t="shared" si="0"/>
        <v>#REF!</v>
      </c>
      <c r="M7" s="180" t="e">
        <f t="shared" si="0"/>
        <v>#REF!</v>
      </c>
      <c r="N7" s="181" t="e">
        <f t="shared" si="0"/>
        <v>#REF!</v>
      </c>
      <c r="O7" s="181">
        <v>-50.73</v>
      </c>
    </row>
    <row r="8" spans="1:15" x14ac:dyDescent="0.2">
      <c r="A8" s="176" t="s">
        <v>44</v>
      </c>
      <c r="B8" s="177">
        <f>B7-[1]Liquidado!B36</f>
        <v>199.26</v>
      </c>
      <c r="C8" s="177">
        <f>C7-[1]Liquidado!D36</f>
        <v>230.62999999999994</v>
      </c>
      <c r="D8" s="177">
        <f>D7-[1]Liquidado!F36</f>
        <v>156.7600000000001</v>
      </c>
      <c r="E8" s="177">
        <f>E7-[1]Liquidado!H36</f>
        <v>273.30000000000018</v>
      </c>
      <c r="F8" s="177">
        <f>F7-[1]Liquidado!J36</f>
        <v>344.41000000000014</v>
      </c>
      <c r="G8" s="177">
        <f>G7-[1]Liquidado!L36</f>
        <v>894.64999999999986</v>
      </c>
      <c r="H8" s="177">
        <f>H7-[1]Liquidado!N36</f>
        <v>123.53999999999994</v>
      </c>
      <c r="I8" s="177">
        <f>I7-[1]Liquidado!P36</f>
        <v>443.1100000000003</v>
      </c>
      <c r="J8" s="177">
        <f>J7-[1]Liquidado!R36</f>
        <v>260.93</v>
      </c>
      <c r="K8" s="177">
        <f>K7-[1]Liquidado!T36</f>
        <v>-135.52000000000027</v>
      </c>
      <c r="L8" s="177" t="e">
        <f>L7-'Liquidado  2002-11'!V36</f>
        <v>#REF!</v>
      </c>
      <c r="M8" s="177" t="e">
        <f>M7-'Liquidado  2002-11'!X36</f>
        <v>#REF!</v>
      </c>
      <c r="N8" s="178" t="e">
        <f>N7-'Liquidado  2002-11'!Z36</f>
        <v>#REF!</v>
      </c>
      <c r="O8" s="175">
        <v>-531.63</v>
      </c>
    </row>
    <row r="9" spans="1:15" x14ac:dyDescent="0.2">
      <c r="A9" s="179" t="s">
        <v>45</v>
      </c>
      <c r="B9" s="182">
        <f t="shared" ref="B9:O9" si="1">B7/B5</f>
        <v>0.31349993720959435</v>
      </c>
      <c r="C9" s="182">
        <f t="shared" si="1"/>
        <v>0.2741808110056882</v>
      </c>
      <c r="D9" s="182">
        <f t="shared" si="1"/>
        <v>0.18703537815419347</v>
      </c>
      <c r="E9" s="182">
        <f t="shared" si="1"/>
        <v>0.15338451497284211</v>
      </c>
      <c r="F9" s="182">
        <f t="shared" si="1"/>
        <v>0.17147524466768732</v>
      </c>
      <c r="G9" s="182">
        <f t="shared" si="1"/>
        <v>0.3377866869736606</v>
      </c>
      <c r="H9" s="182">
        <f t="shared" si="1"/>
        <v>6.6595175554859359E-2</v>
      </c>
      <c r="I9" s="182">
        <f t="shared" si="1"/>
        <v>0.16935025044067095</v>
      </c>
      <c r="J9" s="182">
        <f t="shared" si="1"/>
        <v>0.10202466774639968</v>
      </c>
      <c r="K9" s="182">
        <f t="shared" si="1"/>
        <v>-3.3182659086793437E-2</v>
      </c>
      <c r="L9" s="182" t="e">
        <f t="shared" si="1"/>
        <v>#REF!</v>
      </c>
      <c r="M9" s="182" t="e">
        <f t="shared" si="1"/>
        <v>#REF!</v>
      </c>
      <c r="N9" s="183" t="e">
        <f t="shared" si="1"/>
        <v>#REF!</v>
      </c>
      <c r="O9" s="183">
        <f t="shared" si="1"/>
        <v>-1.2986946493166044E-2</v>
      </c>
    </row>
    <row r="10" spans="1:15" x14ac:dyDescent="0.2">
      <c r="A10" s="184" t="s">
        <v>46</v>
      </c>
      <c r="B10" s="185">
        <f t="shared" ref="B10:O10" si="2">B8/B5</f>
        <v>0.25023232450081628</v>
      </c>
      <c r="C10" s="185">
        <f t="shared" si="2"/>
        <v>0.26396026232360104</v>
      </c>
      <c r="D10" s="185">
        <f t="shared" si="2"/>
        <v>0.18237025489488942</v>
      </c>
      <c r="E10" s="185">
        <f t="shared" si="2"/>
        <v>0.15116652101286557</v>
      </c>
      <c r="F10" s="185">
        <f t="shared" si="2"/>
        <v>0.16844777243581913</v>
      </c>
      <c r="G10" s="185">
        <f t="shared" si="2"/>
        <v>0.33396419399151878</v>
      </c>
      <c r="H10" s="185">
        <f t="shared" si="2"/>
        <v>4.9618044677928498E-2</v>
      </c>
      <c r="I10" s="185">
        <f t="shared" si="2"/>
        <v>0.15466587549520944</v>
      </c>
      <c r="J10" s="185">
        <f t="shared" si="2"/>
        <v>8.7859064538178447E-2</v>
      </c>
      <c r="K10" s="185">
        <f t="shared" si="2"/>
        <v>-4.8121069656952828E-2</v>
      </c>
      <c r="L10" s="185" t="e">
        <f t="shared" si="2"/>
        <v>#REF!</v>
      </c>
      <c r="M10" s="185" t="e">
        <f t="shared" si="2"/>
        <v>#REF!</v>
      </c>
      <c r="N10" s="186" t="e">
        <f t="shared" si="2"/>
        <v>#REF!</v>
      </c>
      <c r="O10" s="186">
        <f t="shared" si="2"/>
        <v>-0.13609797682164132</v>
      </c>
    </row>
    <row r="11" spans="1:15" x14ac:dyDescent="0.2">
      <c r="O11" s="175"/>
    </row>
    <row r="12" spans="1:15" x14ac:dyDescent="0.2">
      <c r="A12" s="173" t="s">
        <v>26</v>
      </c>
      <c r="B12" s="174">
        <f>[1]Liquidado!B13</f>
        <v>53.14</v>
      </c>
      <c r="C12" s="174">
        <f>[1]Liquidado!D13</f>
        <v>61.42</v>
      </c>
      <c r="D12" s="174">
        <f>[1]Liquidado!F13</f>
        <v>61.81</v>
      </c>
      <c r="E12" s="174">
        <f>[1]Liquidado!H13</f>
        <v>50.236823060000006</v>
      </c>
      <c r="F12" s="174">
        <f>[1]Liquidado!J13</f>
        <v>61.96</v>
      </c>
      <c r="G12" s="174">
        <f>[1]Liquidado!L13</f>
        <v>64.81</v>
      </c>
      <c r="H12" s="174">
        <f>[1]Liquidado!N13</f>
        <v>63.71</v>
      </c>
      <c r="I12" s="174">
        <f>[1]Liquidado!P13</f>
        <v>46.56</v>
      </c>
      <c r="J12" s="174">
        <f>[1]Liquidado!R13</f>
        <v>42.349999999999994</v>
      </c>
      <c r="K12" s="174">
        <f>[1]Liquidado!T13</f>
        <v>59.98</v>
      </c>
      <c r="L12" s="174" t="e">
        <f>'Liquidado  2002-11'!V13</f>
        <v>#REF!</v>
      </c>
      <c r="M12" s="174" t="e">
        <f>'Liquidado  2002-11'!X13</f>
        <v>#REF!</v>
      </c>
      <c r="N12" s="175" t="e">
        <f>'Liquidado  2002-11'!Z13</f>
        <v>#REF!</v>
      </c>
      <c r="O12" s="175">
        <f>1.64+42.2</f>
        <v>43.84</v>
      </c>
    </row>
    <row r="13" spans="1:15" x14ac:dyDescent="0.2">
      <c r="A13" s="176" t="s">
        <v>39</v>
      </c>
      <c r="B13" s="177">
        <f>[1]Liquidado!B32</f>
        <v>280.33</v>
      </c>
      <c r="C13" s="177">
        <f>[1]Liquidado!D32</f>
        <v>292.40999999999997</v>
      </c>
      <c r="D13" s="177">
        <f>[1]Liquidado!F32</f>
        <v>300.23</v>
      </c>
      <c r="E13" s="177">
        <f>[1]Liquidado!H32</f>
        <v>448.74</v>
      </c>
      <c r="F13" s="177">
        <f>[1]Liquidado!J32</f>
        <v>429.52</v>
      </c>
      <c r="G13" s="177">
        <f>[1]Liquidado!L32</f>
        <v>529.67999999999995</v>
      </c>
      <c r="H13" s="177">
        <f>[1]Liquidado!N32</f>
        <v>581.44000000000005</v>
      </c>
      <c r="I13" s="177">
        <f>[1]Liquidado!P32</f>
        <v>534.75</v>
      </c>
      <c r="J13" s="177">
        <f>[1]Liquidado!R32</f>
        <v>597.68999999999994</v>
      </c>
      <c r="K13" s="177">
        <f>[1]Liquidado!T32</f>
        <v>682.68000000000006</v>
      </c>
      <c r="L13" s="177" t="e">
        <f>'Liquidado  2002-11'!V32</f>
        <v>#REF!</v>
      </c>
      <c r="M13" s="177" t="e">
        <f>'Liquidado  2002-11'!X32</f>
        <v>#REF!</v>
      </c>
      <c r="N13" s="178" t="e">
        <f>'Liquidado  2002-11'!Z32</f>
        <v>#REF!</v>
      </c>
      <c r="O13" s="178">
        <f>103.01+287.83</f>
        <v>390.84</v>
      </c>
    </row>
    <row r="14" spans="1:15" x14ac:dyDescent="0.2">
      <c r="A14" s="187" t="s">
        <v>47</v>
      </c>
      <c r="B14" s="188">
        <f t="shared" ref="B14:K14" si="3">(B7+B12)/B13</f>
        <v>1.0800841864944886</v>
      </c>
      <c r="C14" s="188">
        <f t="shared" si="3"/>
        <v>1.0293081631955132</v>
      </c>
      <c r="D14" s="188">
        <f t="shared" si="3"/>
        <v>0.74136495353562293</v>
      </c>
      <c r="E14" s="188">
        <f t="shared" si="3"/>
        <v>0.72992562076035161</v>
      </c>
      <c r="F14" s="188">
        <f t="shared" si="3"/>
        <v>0.96051406220897773</v>
      </c>
      <c r="G14" s="188">
        <f t="shared" si="3"/>
        <v>1.8307279867089561</v>
      </c>
      <c r="H14" s="188">
        <f t="shared" si="3"/>
        <v>0.39474408365437524</v>
      </c>
      <c r="I14" s="188">
        <f t="shared" si="3"/>
        <v>0.99437120149602665</v>
      </c>
      <c r="J14" s="188">
        <f t="shared" si="3"/>
        <v>0.57780789372417152</v>
      </c>
      <c r="K14" s="188">
        <f t="shared" si="3"/>
        <v>-4.9027362746821748E-2</v>
      </c>
      <c r="L14" s="188" t="e">
        <f>(L7+L12)/L13</f>
        <v>#REF!</v>
      </c>
      <c r="M14" s="188" t="e">
        <f>(M7+M12)/M13</f>
        <v>#REF!</v>
      </c>
      <c r="N14" s="189" t="e">
        <f>(N7+N12)/N13</f>
        <v>#REF!</v>
      </c>
      <c r="O14" s="189">
        <f>(O7+O12)/O13</f>
        <v>-1.7628697165080323E-2</v>
      </c>
    </row>
    <row r="15" spans="1:15" x14ac:dyDescent="0.2">
      <c r="O15" s="175"/>
    </row>
    <row r="16" spans="1:15" x14ac:dyDescent="0.2">
      <c r="A16" s="173" t="s">
        <v>27</v>
      </c>
      <c r="B16" s="174">
        <f>[1]Liquidado!B14</f>
        <v>849.43999999999994</v>
      </c>
      <c r="C16" s="174">
        <f>[1]Liquidado!D14</f>
        <v>935.15</v>
      </c>
      <c r="D16" s="174">
        <f>[1]Liquidado!F14</f>
        <v>921.38000000000011</v>
      </c>
      <c r="E16" s="174">
        <f>[1]Liquidado!H14</f>
        <v>1858.1768230600001</v>
      </c>
      <c r="F16" s="174">
        <f>[1]Liquidado!J14</f>
        <v>2106.5699999999997</v>
      </c>
      <c r="G16" s="174">
        <f>[1]Liquidado!L14</f>
        <v>2743.69</v>
      </c>
      <c r="H16" s="174">
        <f>[1]Liquidado!N14</f>
        <v>2553.5300000000002</v>
      </c>
      <c r="I16" s="174">
        <f>[1]Liquidado!P14</f>
        <v>2911.51</v>
      </c>
      <c r="J16" s="174">
        <f>[1]Liquidado!R14</f>
        <v>3012.22</v>
      </c>
      <c r="K16" s="174">
        <f>[1]Liquidado!T14</f>
        <v>2876.21</v>
      </c>
      <c r="L16" s="174" t="e">
        <f>'Liquidado  2002-11'!V14</f>
        <v>#REF!</v>
      </c>
      <c r="M16" s="174" t="e">
        <f>'Liquidado  2002-11'!X14</f>
        <v>#REF!</v>
      </c>
      <c r="N16" s="175" t="e">
        <f>'Liquidado  2002-11'!Z14</f>
        <v>#REF!</v>
      </c>
      <c r="O16" s="175">
        <f>3950.08</f>
        <v>3950.08</v>
      </c>
    </row>
    <row r="17" spans="1:15" x14ac:dyDescent="0.2">
      <c r="A17" s="176" t="s">
        <v>48</v>
      </c>
      <c r="B17" s="177">
        <f>[1]Liquidado!B33</f>
        <v>826.99</v>
      </c>
      <c r="C17" s="177">
        <f>[1]Liquidado!D33</f>
        <v>926.58</v>
      </c>
      <c r="D17" s="177">
        <f>[1]Liquidado!F33</f>
        <v>999.03</v>
      </c>
      <c r="E17" s="177">
        <f>[1]Liquidado!H33</f>
        <v>1979.37</v>
      </c>
      <c r="F17" s="177">
        <f>[1]Liquidado!J33</f>
        <v>2123.5299999999997</v>
      </c>
      <c r="G17" s="177">
        <f>[1]Liquidado!L33</f>
        <v>2303.67</v>
      </c>
      <c r="H17" s="177">
        <f>[1]Liquidado!N33</f>
        <v>2905.4500000000003</v>
      </c>
      <c r="I17" s="177">
        <f>[1]Liquidado!P33</f>
        <v>2914.52</v>
      </c>
      <c r="J17" s="177">
        <f>[1]Liquidado!R33</f>
        <v>3264.56</v>
      </c>
      <c r="K17" s="177">
        <f>[1]Liquidado!T33</f>
        <v>3592.3600000000006</v>
      </c>
      <c r="L17" s="177" t="e">
        <f>'Liquidado  2002-11'!V33</f>
        <v>#REF!</v>
      </c>
      <c r="M17" s="177" t="e">
        <f>'Liquidado  2002-11'!X33</f>
        <v>#REF!</v>
      </c>
      <c r="N17" s="178" t="e">
        <f>'Liquidado  2002-11'!Z33</f>
        <v>#REF!</v>
      </c>
      <c r="O17" s="178">
        <v>4977.8</v>
      </c>
    </row>
    <row r="18" spans="1:15" x14ac:dyDescent="0.2">
      <c r="A18" s="179" t="s">
        <v>49</v>
      </c>
      <c r="B18" s="180">
        <f t="shared" ref="B18:O18" si="4">B16-B17</f>
        <v>22.449999999999932</v>
      </c>
      <c r="C18" s="180">
        <f t="shared" si="4"/>
        <v>8.5699999999999363</v>
      </c>
      <c r="D18" s="180">
        <f t="shared" si="4"/>
        <v>-77.649999999999864</v>
      </c>
      <c r="E18" s="180">
        <f t="shared" si="4"/>
        <v>-121.19317693999983</v>
      </c>
      <c r="F18" s="180">
        <f t="shared" si="4"/>
        <v>-16.960000000000036</v>
      </c>
      <c r="G18" s="180">
        <f t="shared" si="4"/>
        <v>440.02</v>
      </c>
      <c r="H18" s="180">
        <f t="shared" si="4"/>
        <v>-351.92000000000007</v>
      </c>
      <c r="I18" s="180">
        <f t="shared" si="4"/>
        <v>-3.0099999999997635</v>
      </c>
      <c r="J18" s="180">
        <f t="shared" si="4"/>
        <v>-252.34000000000015</v>
      </c>
      <c r="K18" s="180">
        <f t="shared" si="4"/>
        <v>-716.15000000000055</v>
      </c>
      <c r="L18" s="180" t="e">
        <f t="shared" si="4"/>
        <v>#REF!</v>
      </c>
      <c r="M18" s="180" t="e">
        <f t="shared" si="4"/>
        <v>#REF!</v>
      </c>
      <c r="N18" s="181" t="e">
        <f t="shared" si="4"/>
        <v>#REF!</v>
      </c>
      <c r="O18" s="181">
        <f t="shared" si="4"/>
        <v>-1027.7200000000003</v>
      </c>
    </row>
    <row r="19" spans="1:15" x14ac:dyDescent="0.2">
      <c r="A19" s="184" t="s">
        <v>50</v>
      </c>
      <c r="B19" s="190">
        <f>B18+[1]Liquidado!B27</f>
        <v>38.999999999999929</v>
      </c>
      <c r="C19" s="190">
        <f>C18+[1]Liquidado!D27</f>
        <v>24.739999999999938</v>
      </c>
      <c r="D19" s="190">
        <f>D18+[1]Liquidado!F27</f>
        <v>-59.929999999999865</v>
      </c>
      <c r="E19" s="190">
        <f>E18+[1]Liquidado!H27</f>
        <v>-100.67317693999983</v>
      </c>
      <c r="F19" s="190">
        <f>F18+[1]Liquidado!J27</f>
        <v>7.269999999999964</v>
      </c>
      <c r="G19" s="190">
        <f>G18+[1]Liquidado!L27</f>
        <v>466.91999999999996</v>
      </c>
      <c r="H19" s="190">
        <f>H18+[1]Liquidado!N27</f>
        <v>-319.48000000000008</v>
      </c>
      <c r="I19" s="190">
        <f>I18+[1]Liquidado!P27</f>
        <v>39.230000000000238</v>
      </c>
      <c r="J19" s="190">
        <f>J18+[1]Liquidado!R27</f>
        <v>-206.02000000000015</v>
      </c>
      <c r="K19" s="190">
        <f>K18+[1]Liquidado!T27</f>
        <v>-653.46000000000049</v>
      </c>
      <c r="L19" s="190" t="e">
        <f>L18+'Liquidado  2002-11'!V27</f>
        <v>#REF!</v>
      </c>
      <c r="M19" s="190" t="e">
        <f>M18+'Liquidado  2002-11'!X27</f>
        <v>#REF!</v>
      </c>
      <c r="N19" s="191" t="e">
        <f>N18+'Liquidado  2002-11'!Z27</f>
        <v>#REF!</v>
      </c>
      <c r="O19" s="191" t="e">
        <f>O18+'Liquidado  2002-11'!AB27</f>
        <v>#REF!</v>
      </c>
    </row>
    <row r="20" spans="1:15" x14ac:dyDescent="0.2">
      <c r="B20" s="192"/>
      <c r="C20" s="192"/>
      <c r="D20" s="192"/>
    </row>
    <row r="21" spans="1:15" x14ac:dyDescent="0.2">
      <c r="A21" s="171" t="s">
        <v>51</v>
      </c>
      <c r="B21" s="193">
        <f>[1]Liquidado!B27+[1]Liquidado!B36</f>
        <v>66.930000000000007</v>
      </c>
      <c r="C21" s="193">
        <f>[1]Liquidado!D27+[1]Liquidado!D36</f>
        <v>25.1</v>
      </c>
      <c r="D21" s="193">
        <f>[1]Liquidado!F27+[1]Liquidado!F36</f>
        <v>21.729999999999997</v>
      </c>
      <c r="E21" s="193">
        <f>[1]Liquidado!H27+[1]Liquidado!H36</f>
        <v>24.53</v>
      </c>
      <c r="F21" s="193">
        <f>[1]Liquidado!J27+[1]Liquidado!J36</f>
        <v>30.42</v>
      </c>
      <c r="G21" s="193">
        <f>[1]Liquidado!L27+[1]Liquidado!L36</f>
        <v>37.14</v>
      </c>
      <c r="H21" s="193">
        <f>[1]Liquidado!N27+[1]Liquidado!N36</f>
        <v>74.710000000000008</v>
      </c>
      <c r="I21" s="193">
        <f>[1]Liquidado!P27+[1]Liquidado!P36</f>
        <v>84.31</v>
      </c>
      <c r="J21" s="193">
        <f>[1]Liquidado!R27+[1]Liquidado!R36</f>
        <v>88.39</v>
      </c>
      <c r="K21" s="193">
        <f>[1]Liquidado!T27+[1]Liquidado!T36</f>
        <v>104.75999999999999</v>
      </c>
      <c r="L21" s="193" t="e">
        <f>'Liquidado  2002-11'!V27+'Liquidado  2002-11'!V36</f>
        <v>#REF!</v>
      </c>
      <c r="M21" s="193" t="e">
        <f>'Liquidado  2002-11'!X27+'Liquidado  2002-11'!X36</f>
        <v>#REF!</v>
      </c>
      <c r="N21" s="193" t="e">
        <f>'Liquidado  2002-11'!Z27+'Liquidado  2002-11'!Z36</f>
        <v>#REF!</v>
      </c>
      <c r="O21" s="193" t="e">
        <f>'Liquidado  2002-11'!AB27+'Liquidado  2002-11'!AB36</f>
        <v>#REF!</v>
      </c>
    </row>
    <row r="25" spans="1:15" x14ac:dyDescent="0.2">
      <c r="M25" s="193"/>
    </row>
  </sheetData>
  <mergeCells count="1">
    <mergeCell ref="A1:N2"/>
  </mergeCells>
  <printOptions horizontalCentered="1" verticalCentered="1"/>
  <pageMargins left="0.75" right="0.75" top="1" bottom="1" header="0" footer="0"/>
  <pageSetup paperSize="9" scale="86" orientation="landscape" horizont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40"/>
  <sheetViews>
    <sheetView showGridLines="0" topLeftCell="Q1" workbookViewId="0">
      <selection activeCell="AB13" sqref="AB13"/>
    </sheetView>
  </sheetViews>
  <sheetFormatPr baseColWidth="10" defaultColWidth="11.42578125" defaultRowHeight="14.25" x14ac:dyDescent="0.2"/>
  <cols>
    <col min="1" max="1" width="32.42578125" style="71" customWidth="1"/>
    <col min="2" max="2" width="9.7109375" style="169" hidden="1" customWidth="1"/>
    <col min="3" max="3" width="9.140625" style="115" hidden="1" customWidth="1"/>
    <col min="4" max="4" width="9.7109375" style="169" hidden="1" customWidth="1"/>
    <col min="5" max="5" width="9.140625" style="115" hidden="1" customWidth="1"/>
    <col min="6" max="6" width="9.7109375" style="169" hidden="1" customWidth="1"/>
    <col min="7" max="7" width="9.140625" style="115" hidden="1" customWidth="1"/>
    <col min="8" max="8" width="9.7109375" style="115" hidden="1" customWidth="1"/>
    <col min="9" max="9" width="9.140625" style="115" hidden="1" customWidth="1"/>
    <col min="10" max="10" width="9.7109375" style="115" customWidth="1"/>
    <col min="11" max="11" width="9.140625" style="115" bestFit="1" customWidth="1"/>
    <col min="12" max="12" width="9.7109375" style="115" customWidth="1"/>
    <col min="13" max="13" width="9.140625" style="115" bestFit="1" customWidth="1"/>
    <col min="14" max="14" width="9.7109375" style="115" customWidth="1"/>
    <col min="15" max="15" width="9.140625" style="115" bestFit="1" customWidth="1"/>
    <col min="16" max="16" width="9.7109375" style="115" customWidth="1"/>
    <col min="17" max="17" width="9.140625" style="115" bestFit="1" customWidth="1"/>
    <col min="18" max="18" width="9.7109375" style="115" customWidth="1"/>
    <col min="19" max="19" width="9.140625" style="115" bestFit="1" customWidth="1"/>
    <col min="20" max="20" width="9.7109375" style="115" customWidth="1"/>
    <col min="21" max="21" width="9.140625" style="115" bestFit="1" customWidth="1"/>
    <col min="22" max="22" width="9.7109375" style="71" customWidth="1"/>
    <col min="23" max="23" width="9.140625" style="71" customWidth="1"/>
    <col min="24" max="27" width="11.42578125" style="71"/>
    <col min="28" max="28" width="16" style="71" customWidth="1"/>
    <col min="29" max="16384" width="11.42578125" style="71"/>
  </cols>
  <sheetData>
    <row r="1" spans="1:29" ht="18" x14ac:dyDescent="0.25">
      <c r="A1" s="70"/>
      <c r="B1" s="260" t="s">
        <v>52</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row>
    <row r="2" spans="1:29" ht="15.75" x14ac:dyDescent="0.25">
      <c r="A2" s="72"/>
      <c r="B2" s="261" t="s">
        <v>53</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1:29" x14ac:dyDescent="0.2">
      <c r="A3" s="46" t="s">
        <v>5</v>
      </c>
    </row>
    <row r="4" spans="1:29" ht="15" x14ac:dyDescent="0.25">
      <c r="A4" s="73" t="s">
        <v>16</v>
      </c>
      <c r="B4" s="74">
        <v>1999</v>
      </c>
      <c r="C4" s="75" t="s">
        <v>17</v>
      </c>
      <c r="D4" s="74">
        <v>2000</v>
      </c>
      <c r="E4" s="75" t="s">
        <v>17</v>
      </c>
      <c r="F4" s="74">
        <v>2001</v>
      </c>
      <c r="G4" s="75" t="s">
        <v>17</v>
      </c>
      <c r="H4" s="76">
        <v>2002</v>
      </c>
      <c r="I4" s="77" t="s">
        <v>17</v>
      </c>
      <c r="J4" s="76">
        <v>2003</v>
      </c>
      <c r="K4" s="77" t="s">
        <v>17</v>
      </c>
      <c r="L4" s="76">
        <v>2004</v>
      </c>
      <c r="M4" s="77" t="s">
        <v>17</v>
      </c>
      <c r="N4" s="76">
        <v>2005</v>
      </c>
      <c r="O4" s="77" t="s">
        <v>17</v>
      </c>
      <c r="P4" s="76">
        <v>2006</v>
      </c>
      <c r="Q4" s="77" t="s">
        <v>17</v>
      </c>
      <c r="R4" s="78">
        <v>2007</v>
      </c>
      <c r="S4" s="77" t="s">
        <v>17</v>
      </c>
      <c r="T4" s="79">
        <v>2008</v>
      </c>
      <c r="U4" s="80" t="s">
        <v>17</v>
      </c>
      <c r="V4" s="79">
        <v>2009</v>
      </c>
      <c r="W4" s="80" t="s">
        <v>17</v>
      </c>
      <c r="X4" s="79">
        <v>2010</v>
      </c>
      <c r="Y4" s="80" t="s">
        <v>17</v>
      </c>
      <c r="Z4" s="79">
        <v>2011</v>
      </c>
      <c r="AA4" s="80" t="s">
        <v>17</v>
      </c>
      <c r="AB4" s="79">
        <v>2012</v>
      </c>
      <c r="AC4" s="80" t="s">
        <v>17</v>
      </c>
    </row>
    <row r="5" spans="1:29" x14ac:dyDescent="0.2">
      <c r="A5" s="81" t="s">
        <v>18</v>
      </c>
      <c r="B5" s="82">
        <f>'[1]DCHOS.RECONC.97-2006 '!B11</f>
        <v>334.99</v>
      </c>
      <c r="C5" s="83">
        <f t="shared" ref="C5:C14" si="0">B5/$B$14</f>
        <v>0.39436569975513286</v>
      </c>
      <c r="D5" s="82">
        <f>'[1]DCHOS.RECONC.97-2006 '!C11</f>
        <v>342.57</v>
      </c>
      <c r="E5" s="83">
        <f t="shared" ref="E5:E14" si="1">D5/$D$14</f>
        <v>0.36632625781960115</v>
      </c>
      <c r="F5" s="82">
        <f>'[1]DCHOS.RECONC.97-2006 '!D11</f>
        <v>322</v>
      </c>
      <c r="G5" s="84">
        <f t="shared" ref="G5:G14" si="2">F5/$F$14</f>
        <v>0.34947578632051918</v>
      </c>
      <c r="H5" s="85">
        <f>'[1]DCHOS.RECONC.97-2006 '!E11</f>
        <v>400.55</v>
      </c>
      <c r="I5" s="86">
        <f>H5/$H$14</f>
        <v>0.21556075559073226</v>
      </c>
      <c r="J5" s="85">
        <f>'[1]DCHOS.RECONC.97-2006 '!F11</f>
        <v>422.68</v>
      </c>
      <c r="K5" s="86">
        <f>J5/$J$14</f>
        <v>0.20064844747622917</v>
      </c>
      <c r="L5" s="85">
        <f>'[1]DCHOS.RECONC.97-2006 '!G11</f>
        <v>518.12</v>
      </c>
      <c r="M5" s="86">
        <f>L5/$L$14</f>
        <v>0.18884057601259618</v>
      </c>
      <c r="N5" s="85">
        <f>'[1]DCHOS.RECONC.97-2006 '!H11</f>
        <v>558.59</v>
      </c>
      <c r="O5" s="86">
        <f>N5/$N$14</f>
        <v>0.21875208045333322</v>
      </c>
      <c r="P5" s="85">
        <f>'[1]DCHOS.RECONC.97-2006 '!I11</f>
        <v>627.52</v>
      </c>
      <c r="Q5" s="86">
        <f>P5/$P$14</f>
        <v>0.21553077269183343</v>
      </c>
      <c r="R5" s="87">
        <f>'[1]DCHOS.RECONC.97-2006 '!J11</f>
        <v>700.37</v>
      </c>
      <c r="S5" s="88">
        <f>R5/$R$14</f>
        <v>0.23250957765369065</v>
      </c>
      <c r="T5" s="87">
        <f>'[1]DCHOS.RECONC.97-2006 '!K11</f>
        <v>778.91</v>
      </c>
      <c r="U5" s="89">
        <f>T5/$T$14</f>
        <v>0.27081124118197208</v>
      </c>
      <c r="V5" s="87" t="e">
        <f>#REF!</f>
        <v>#REF!</v>
      </c>
      <c r="W5" s="89" t="e">
        <f>V5/$V$14</f>
        <v>#REF!</v>
      </c>
      <c r="X5" s="121" t="e">
        <f>#REF!</f>
        <v>#REF!</v>
      </c>
      <c r="Y5" s="89" t="e">
        <f>X5/$X$14</f>
        <v>#REF!</v>
      </c>
      <c r="Z5" s="121" t="e">
        <f>#REF!</f>
        <v>#REF!</v>
      </c>
      <c r="AA5" s="89" t="e">
        <f>Z5/$Z$14</f>
        <v>#REF!</v>
      </c>
      <c r="AB5" s="121" t="e">
        <f>#REF!</f>
        <v>#REF!</v>
      </c>
      <c r="AC5" s="89" t="e">
        <f>AB5/$Z$14</f>
        <v>#REF!</v>
      </c>
    </row>
    <row r="6" spans="1:29" x14ac:dyDescent="0.2">
      <c r="A6" s="81" t="s">
        <v>19</v>
      </c>
      <c r="B6" s="82">
        <f>'[1]DCHOS.RECONC.97-2006 '!B12</f>
        <v>224.02</v>
      </c>
      <c r="C6" s="83">
        <f t="shared" si="0"/>
        <v>0.26372669052552272</v>
      </c>
      <c r="D6" s="82">
        <f>'[1]DCHOS.RECONC.97-2006 '!C12</f>
        <v>261.42</v>
      </c>
      <c r="E6" s="83">
        <f t="shared" si="1"/>
        <v>0.27954873549697912</v>
      </c>
      <c r="F6" s="82">
        <f>'[1]DCHOS.RECONC.97-2006 '!D12</f>
        <v>258.12</v>
      </c>
      <c r="G6" s="84">
        <f t="shared" si="2"/>
        <v>0.28014499989146713</v>
      </c>
      <c r="H6" s="82">
        <f>'[1]DCHOS.RECONC.97-2006 '!E12</f>
        <v>1267.6600000000001</v>
      </c>
      <c r="I6" s="90">
        <f>H6/$H$14</f>
        <v>0.68220633486992299</v>
      </c>
      <c r="J6" s="82">
        <f>'[1]DCHOS.RECONC.97-2006 '!F12</f>
        <v>1417</v>
      </c>
      <c r="K6" s="90">
        <f>J6/$J$14</f>
        <v>0.67265744788922288</v>
      </c>
      <c r="L6" s="82">
        <f>'[1]DCHOS.RECONC.97-2006 '!G12</f>
        <v>1424.71</v>
      </c>
      <c r="M6" s="90">
        <f>L6/$L$14</f>
        <v>0.51926784731511211</v>
      </c>
      <c r="N6" s="82">
        <f>'[1]DCHOS.RECONC.97-2006 '!H12</f>
        <v>1745.45</v>
      </c>
      <c r="O6" s="90">
        <f>N6/$N$14</f>
        <v>0.68354395679706126</v>
      </c>
      <c r="P6" s="82">
        <f>'[1]DCHOS.RECONC.97-2006 '!I12</f>
        <v>1972.49</v>
      </c>
      <c r="Q6" s="90">
        <f>P6/$P$14</f>
        <v>0.67748007047889236</v>
      </c>
      <c r="R6" s="91">
        <f>'[1]DCHOS.RECONC.97-2006 '!J12</f>
        <v>2005.79</v>
      </c>
      <c r="S6" s="92">
        <f t="shared" ref="S6:S12" si="3">R6/$R$14</f>
        <v>0.66588429795964443</v>
      </c>
      <c r="T6" s="91">
        <f>'[1]DCHOS.RECONC.97-2006 '!K12</f>
        <v>1774.45</v>
      </c>
      <c r="U6" s="93">
        <f t="shared" ref="U6:U13" si="4">T6/$T$14</f>
        <v>0.61694034858372648</v>
      </c>
      <c r="V6" s="91" t="e">
        <f>#REF!</f>
        <v>#REF!</v>
      </c>
      <c r="W6" s="93" t="e">
        <f t="shared" ref="W6:W12" si="5">V6/$V$14</f>
        <v>#REF!</v>
      </c>
      <c r="X6" s="94" t="e">
        <f>#REF!</f>
        <v>#REF!</v>
      </c>
      <c r="Y6" s="93" t="e">
        <f>X6/$X$14</f>
        <v>#REF!</v>
      </c>
      <c r="Z6" s="94" t="e">
        <f>#REF!</f>
        <v>#REF!</v>
      </c>
      <c r="AA6" s="93" t="e">
        <f>Z6/$Z$14</f>
        <v>#REF!</v>
      </c>
      <c r="AB6" s="121" t="e">
        <f>#REF!</f>
        <v>#REF!</v>
      </c>
      <c r="AC6" s="93" t="e">
        <f>AB6/$Z$14</f>
        <v>#REF!</v>
      </c>
    </row>
    <row r="7" spans="1:29" x14ac:dyDescent="0.2">
      <c r="A7" s="81" t="s">
        <v>20</v>
      </c>
      <c r="B7" s="82">
        <f>'[1]DCHOS.RECONC.97-2006 '!B13</f>
        <v>70.59</v>
      </c>
      <c r="C7" s="83">
        <f t="shared" si="0"/>
        <v>8.3101808250141282E-2</v>
      </c>
      <c r="D7" s="82">
        <f>'[1]DCHOS.RECONC.97-2006 '!C13</f>
        <v>79.099999999999994</v>
      </c>
      <c r="E7" s="83">
        <f t="shared" si="1"/>
        <v>8.4585360637330909E-2</v>
      </c>
      <c r="F7" s="82">
        <f>'[1]DCHOS.RECONC.97-2006 '!D13</f>
        <v>81.33</v>
      </c>
      <c r="G7" s="84">
        <f t="shared" si="2"/>
        <v>8.8269769259154737E-2</v>
      </c>
      <c r="H7" s="82">
        <f>'[1]DCHOS.RECONC.97-2006 '!E13</f>
        <v>86.79</v>
      </c>
      <c r="I7" s="90">
        <f>H7/$H$14</f>
        <v>4.6707072719310079E-2</v>
      </c>
      <c r="J7" s="82">
        <f>'[1]DCHOS.RECONC.97-2006 '!F13</f>
        <v>88.05</v>
      </c>
      <c r="K7" s="90">
        <f>J7/$J$14</f>
        <v>4.1797804013158836E-2</v>
      </c>
      <c r="L7" s="82">
        <f>'[1]DCHOS.RECONC.97-2006 '!G13</f>
        <v>88.06</v>
      </c>
      <c r="M7" s="90">
        <f>L7/$L$14</f>
        <v>3.2095462679821697E-2</v>
      </c>
      <c r="N7" s="82">
        <f>'[1]DCHOS.RECONC.97-2006 '!H13</f>
        <v>97.81</v>
      </c>
      <c r="O7" s="90">
        <f>N7/$N$14</f>
        <v>3.8303838216116513E-2</v>
      </c>
      <c r="P7" s="82">
        <f>'[1]DCHOS.RECONC.97-2006 '!I13</f>
        <v>100.32</v>
      </c>
      <c r="Q7" s="90">
        <f>P7/$P$14</f>
        <v>3.4456347393620489E-2</v>
      </c>
      <c r="R7" s="91">
        <f>'[1]DCHOS.RECONC.97-2006 '!J13</f>
        <v>94.29</v>
      </c>
      <c r="S7" s="92">
        <f t="shared" si="3"/>
        <v>3.1302494505713395E-2</v>
      </c>
      <c r="T7" s="91">
        <f>'[1]DCHOS.RECONC.97-2006 '!K13</f>
        <v>90.66</v>
      </c>
      <c r="U7" s="93">
        <f t="shared" si="4"/>
        <v>3.1520646962495784E-2</v>
      </c>
      <c r="V7" s="91" t="e">
        <f>#REF!</f>
        <v>#REF!</v>
      </c>
      <c r="W7" s="93" t="e">
        <f t="shared" si="5"/>
        <v>#REF!</v>
      </c>
      <c r="X7" s="94" t="e">
        <f>#REF!</f>
        <v>#REF!</v>
      </c>
      <c r="Y7" s="93" t="e">
        <f>X7/$X$14</f>
        <v>#REF!</v>
      </c>
      <c r="Z7" s="94" t="e">
        <f>#REF!</f>
        <v>#REF!</v>
      </c>
      <c r="AA7" s="93" t="e">
        <f>Z7/$Z$14</f>
        <v>#REF!</v>
      </c>
      <c r="AB7" s="121" t="e">
        <f>#REF!</f>
        <v>#REF!</v>
      </c>
      <c r="AC7" s="93" t="e">
        <f>AB7/$Z$14</f>
        <v>#REF!</v>
      </c>
    </row>
    <row r="8" spans="1:29" x14ac:dyDescent="0.2">
      <c r="A8" s="81" t="s">
        <v>21</v>
      </c>
      <c r="B8" s="82">
        <f>'[1]DCHOS.RECONC.97-2006 '!B14</f>
        <v>164.27</v>
      </c>
      <c r="C8" s="83">
        <f t="shared" si="0"/>
        <v>0.19338623092861182</v>
      </c>
      <c r="D8" s="82">
        <f>'[1]DCHOS.RECONC.97-2006 '!C14</f>
        <v>187.91</v>
      </c>
      <c r="E8" s="83">
        <f t="shared" si="1"/>
        <v>0.20094102550392987</v>
      </c>
      <c r="F8" s="82">
        <f>'[1]DCHOS.RECONC.97-2006 '!D14</f>
        <v>195.72</v>
      </c>
      <c r="G8" s="84">
        <f t="shared" si="2"/>
        <v>0.2124204996852547</v>
      </c>
      <c r="H8" s="82">
        <f>'[1]DCHOS.RECONC.97-2006 '!E14</f>
        <v>50.15</v>
      </c>
      <c r="I8" s="90">
        <f>H8/$H$14</f>
        <v>2.6988820104544307E-2</v>
      </c>
      <c r="J8" s="82">
        <f>'[1]DCHOS.RECONC.97-2006 '!F14</f>
        <v>114.54</v>
      </c>
      <c r="K8" s="90">
        <f>J8/$J$14</f>
        <v>5.4372748116606626E-2</v>
      </c>
      <c r="L8" s="82">
        <f>'[1]DCHOS.RECONC.97-2006 '!G14</f>
        <v>646.32000000000005</v>
      </c>
      <c r="M8" s="90">
        <f>L8/$L$14</f>
        <v>0.23556597137431709</v>
      </c>
      <c r="N8" s="82">
        <f>'[1]DCHOS.RECONC.97-2006 '!H14</f>
        <v>86.69</v>
      </c>
      <c r="O8" s="90">
        <f>N8/$N$14</f>
        <v>3.3949082250844906E-2</v>
      </c>
      <c r="P8" s="94">
        <f>'[1]DCHOS.RECONC.97-2006 '!I14</f>
        <v>161.75</v>
      </c>
      <c r="Q8" s="90">
        <f>P8/$P$14</f>
        <v>5.5555364742006723E-2</v>
      </c>
      <c r="R8" s="91">
        <f>'[1]DCHOS.RECONC.97-2006 '!J14</f>
        <v>165.69</v>
      </c>
      <c r="S8" s="92">
        <f t="shared" si="3"/>
        <v>5.5005942461042026E-2</v>
      </c>
      <c r="T8" s="91">
        <f>'[1]DCHOS.RECONC.97-2006 '!K14</f>
        <v>169.99</v>
      </c>
      <c r="U8" s="93">
        <f t="shared" si="4"/>
        <v>5.9102082254077419E-2</v>
      </c>
      <c r="V8" s="91" t="e">
        <f>#REF!</f>
        <v>#REF!</v>
      </c>
      <c r="W8" s="93" t="e">
        <f t="shared" si="5"/>
        <v>#REF!</v>
      </c>
      <c r="X8" s="94" t="e">
        <f>#REF!</f>
        <v>#REF!</v>
      </c>
      <c r="Y8" s="93" t="e">
        <f>X8/$X$14</f>
        <v>#REF!</v>
      </c>
      <c r="Z8" s="94" t="e">
        <f>#REF!</f>
        <v>#REF!</v>
      </c>
      <c r="AA8" s="93" t="e">
        <f>Z8/$Z$14</f>
        <v>#REF!</v>
      </c>
      <c r="AB8" s="121" t="e">
        <f>#REF!</f>
        <v>#REF!</v>
      </c>
      <c r="AC8" s="93" t="e">
        <f>AB8/$Z$14</f>
        <v>#REF!</v>
      </c>
    </row>
    <row r="9" spans="1:29" x14ac:dyDescent="0.2">
      <c r="A9" s="81" t="s">
        <v>22</v>
      </c>
      <c r="B9" s="82">
        <f>'[1]DCHOS.RECONC.97-2006 '!B15</f>
        <v>2.4300000000000002</v>
      </c>
      <c r="C9" s="83">
        <f t="shared" si="0"/>
        <v>2.8607082313053308E-3</v>
      </c>
      <c r="D9" s="82">
        <f>'[1]DCHOS.RECONC.97-2006 '!C15</f>
        <v>2.73</v>
      </c>
      <c r="E9" s="83">
        <f t="shared" si="1"/>
        <v>2.9193177565096508E-3</v>
      </c>
      <c r="F9" s="82">
        <f>'[1]DCHOS.RECONC.97-2006 '!D15</f>
        <v>2.4</v>
      </c>
      <c r="G9" s="84">
        <f t="shared" si="2"/>
        <v>2.6047884694697081E-3</v>
      </c>
      <c r="H9" s="95">
        <f>'[1]DCHOS.RECONC.97-2006 '!E15</f>
        <v>2.79</v>
      </c>
      <c r="I9" s="96">
        <f>H9/$H$14</f>
        <v>1.501471746593791E-3</v>
      </c>
      <c r="J9" s="95">
        <f>'[1]DCHOS.RECONC.97-2006 '!F15</f>
        <v>2.34</v>
      </c>
      <c r="K9" s="96">
        <f>J9/$J$14</f>
        <v>1.1108104644042211E-3</v>
      </c>
      <c r="L9" s="95">
        <f>'[1]DCHOS.RECONC.97-2006 '!G15</f>
        <v>1.67</v>
      </c>
      <c r="M9" s="96">
        <f>L9/$L$14</f>
        <v>6.086693467556466E-4</v>
      </c>
      <c r="N9" s="95">
        <f>'[1]DCHOS.RECONC.97-2006 '!H15</f>
        <v>1.28</v>
      </c>
      <c r="O9" s="96">
        <f>N9/$N$14</f>
        <v>5.0126687370032855E-4</v>
      </c>
      <c r="P9" s="95">
        <f>'[1]DCHOS.RECONC.97-2006 '!I15</f>
        <v>2.87</v>
      </c>
      <c r="Q9" s="96">
        <f>P9/$P$14</f>
        <v>9.8574279325848099E-4</v>
      </c>
      <c r="R9" s="97">
        <f>'[1]DCHOS.RECONC.97-2006 '!J15</f>
        <v>3.73</v>
      </c>
      <c r="S9" s="98">
        <f t="shared" si="3"/>
        <v>1.2382893679744509E-3</v>
      </c>
      <c r="T9" s="97">
        <f>'[1]DCHOS.RECONC.97-2006 '!K15</f>
        <v>2.2200000000000002</v>
      </c>
      <c r="U9" s="99">
        <f t="shared" si="4"/>
        <v>7.7184906526296768E-4</v>
      </c>
      <c r="V9" s="97" t="e">
        <f>#REF!</f>
        <v>#REF!</v>
      </c>
      <c r="W9" s="99" t="e">
        <f t="shared" si="5"/>
        <v>#REF!</v>
      </c>
      <c r="X9" s="129" t="e">
        <f>#REF!</f>
        <v>#REF!</v>
      </c>
      <c r="Y9" s="99" t="e">
        <f>X9/$X$14</f>
        <v>#REF!</v>
      </c>
      <c r="Z9" s="129" t="e">
        <f>#REF!</f>
        <v>#REF!</v>
      </c>
      <c r="AA9" s="99" t="e">
        <f>Z9/$Z$14</f>
        <v>#REF!</v>
      </c>
      <c r="AB9" s="121" t="e">
        <f>#REF!</f>
        <v>#REF!</v>
      </c>
      <c r="AC9" s="99" t="e">
        <f>AB9/$Z$14</f>
        <v>#REF!</v>
      </c>
    </row>
    <row r="10" spans="1:29" ht="15" x14ac:dyDescent="0.25">
      <c r="A10" s="100" t="s">
        <v>23</v>
      </c>
      <c r="B10" s="101">
        <f>SUM(B5:B9)</f>
        <v>796.3</v>
      </c>
      <c r="C10" s="102">
        <f t="shared" si="0"/>
        <v>0.93744113769071391</v>
      </c>
      <c r="D10" s="101">
        <f>SUM(D5:D9)</f>
        <v>873.73</v>
      </c>
      <c r="E10" s="102">
        <f t="shared" si="1"/>
        <v>0.93432069721435063</v>
      </c>
      <c r="F10" s="101">
        <f>SUM(F5:F9)</f>
        <v>859.57</v>
      </c>
      <c r="G10" s="102">
        <f t="shared" si="2"/>
        <v>0.93291584362586555</v>
      </c>
      <c r="H10" s="103">
        <f t="shared" ref="H10:Q10" si="6">SUM(H5:H9)</f>
        <v>1807.94</v>
      </c>
      <c r="I10" s="104">
        <f t="shared" si="6"/>
        <v>0.9729644550311034</v>
      </c>
      <c r="J10" s="103">
        <f t="shared" si="6"/>
        <v>2044.61</v>
      </c>
      <c r="K10" s="104">
        <f t="shared" si="6"/>
        <v>0.97058725795962164</v>
      </c>
      <c r="L10" s="103">
        <f t="shared" si="6"/>
        <v>2678.88</v>
      </c>
      <c r="M10" s="104">
        <f t="shared" si="6"/>
        <v>0.9763785267286027</v>
      </c>
      <c r="N10" s="103">
        <f t="shared" si="6"/>
        <v>2489.8200000000002</v>
      </c>
      <c r="O10" s="104">
        <f t="shared" si="6"/>
        <v>0.97505022459105628</v>
      </c>
      <c r="P10" s="103">
        <f t="shared" si="6"/>
        <v>2864.9500000000003</v>
      </c>
      <c r="Q10" s="104">
        <f t="shared" si="6"/>
        <v>0.98400829809961143</v>
      </c>
      <c r="R10" s="105">
        <f t="shared" ref="R10:W10" si="7">SUM(R5:R9)</f>
        <v>2969.87</v>
      </c>
      <c r="S10" s="106">
        <f t="shared" si="7"/>
        <v>0.98594060194806499</v>
      </c>
      <c r="T10" s="105">
        <f t="shared" si="7"/>
        <v>2816.23</v>
      </c>
      <c r="U10" s="153">
        <f t="shared" si="7"/>
        <v>0.97914616804753474</v>
      </c>
      <c r="V10" s="105" t="e">
        <f t="shared" si="7"/>
        <v>#REF!</v>
      </c>
      <c r="W10" s="109" t="e">
        <f t="shared" si="7"/>
        <v>#REF!</v>
      </c>
      <c r="X10" s="105" t="e">
        <f t="shared" ref="X10:AC10" si="8">SUM(X5:X9)</f>
        <v>#REF!</v>
      </c>
      <c r="Y10" s="109" t="e">
        <f t="shared" si="8"/>
        <v>#REF!</v>
      </c>
      <c r="Z10" s="105" t="e">
        <f t="shared" si="8"/>
        <v>#REF!</v>
      </c>
      <c r="AA10" s="109" t="e">
        <f t="shared" si="8"/>
        <v>#REF!</v>
      </c>
      <c r="AB10" s="242" t="e">
        <f t="shared" si="8"/>
        <v>#REF!</v>
      </c>
      <c r="AC10" s="109" t="e">
        <f t="shared" si="8"/>
        <v>#REF!</v>
      </c>
    </row>
    <row r="11" spans="1:29" ht="22.5" customHeight="1" x14ac:dyDescent="0.2">
      <c r="A11" s="81" t="s">
        <v>24</v>
      </c>
      <c r="B11" s="82">
        <f>'[1]DCHOS.RECONC.97-2006 '!B16</f>
        <v>0.19</v>
      </c>
      <c r="C11" s="83">
        <f t="shared" si="0"/>
        <v>2.2367677528724807E-4</v>
      </c>
      <c r="D11" s="82">
        <f>'[1]DCHOS.RECONC.97-2006 '!C16</f>
        <v>0.24</v>
      </c>
      <c r="E11" s="83">
        <f t="shared" si="1"/>
        <v>2.566433192535957E-4</v>
      </c>
      <c r="F11" s="82">
        <f>'[1]DCHOS.RECONC.97-2006 '!D16</f>
        <v>7.0000000000000007E-2</v>
      </c>
      <c r="G11" s="84">
        <f t="shared" si="2"/>
        <v>7.5972997026199824E-5</v>
      </c>
      <c r="H11" s="85">
        <f>'[1]DCHOS.RECONC.97-2006 '!E16</f>
        <v>0.06</v>
      </c>
      <c r="I11" s="86">
        <f>H11/$H$14</f>
        <v>3.2289714980511633E-5</v>
      </c>
      <c r="J11" s="85">
        <f>'[1]DCHOS.RECONC.97-2006 '!F16</f>
        <v>0.11</v>
      </c>
      <c r="K11" s="86">
        <f>J11/$J$14</f>
        <v>5.2217585933531767E-5</v>
      </c>
      <c r="L11" s="85">
        <f>'[1]DCHOS.RECONC.97-2006 '!G16</f>
        <v>0.17</v>
      </c>
      <c r="M11" s="86">
        <f>L11/$L$14</f>
        <v>6.1960352663748461E-5</v>
      </c>
      <c r="N11" s="85">
        <f>'[1]DCHOS.RECONC.97-2006 '!H16</f>
        <v>0.95</v>
      </c>
      <c r="O11" s="86">
        <f>N11/$N$14</f>
        <v>3.7203400782446258E-4</v>
      </c>
      <c r="P11" s="85">
        <f>'[1]DCHOS.RECONC.97-2006 '!I16</f>
        <v>1.96</v>
      </c>
      <c r="Q11" s="86">
        <f>P11/$P$14</f>
        <v>6.7319020027408448E-4</v>
      </c>
      <c r="R11" s="87">
        <f>'[1]DCHOS.RECONC.97-2006 '!J16</f>
        <v>0.12</v>
      </c>
      <c r="S11" s="88">
        <f t="shared" si="3"/>
        <v>3.9837727656014502E-5</v>
      </c>
      <c r="T11" s="87">
        <f>'[1]DCHOS.RECONC.97-2006 '!K16</f>
        <v>0.01</v>
      </c>
      <c r="U11" s="88">
        <f t="shared" si="4"/>
        <v>3.476797591274629E-6</v>
      </c>
      <c r="V11" s="87" t="e">
        <f>#REF!</f>
        <v>#REF!</v>
      </c>
      <c r="W11" s="89" t="e">
        <f>V11/$V$14</f>
        <v>#REF!</v>
      </c>
      <c r="X11" s="121" t="e">
        <f>#REF!</f>
        <v>#REF!</v>
      </c>
      <c r="Y11" s="89" t="e">
        <f>X11/$X$14</f>
        <v>#REF!</v>
      </c>
      <c r="Z11" s="121" t="e">
        <f>#REF!</f>
        <v>#REF!</v>
      </c>
      <c r="AA11" s="89" t="e">
        <f>Z11/$Z$14</f>
        <v>#REF!</v>
      </c>
      <c r="AB11" s="121" t="e">
        <f>#REF!</f>
        <v>#REF!</v>
      </c>
      <c r="AC11" s="89" t="e">
        <f>AB11/$Z$14</f>
        <v>#REF!</v>
      </c>
    </row>
    <row r="12" spans="1:29" x14ac:dyDescent="0.2">
      <c r="A12" s="81" t="s">
        <v>25</v>
      </c>
      <c r="B12" s="82">
        <f>'[1]DCHOS.RECONC.97-2006 '!B17</f>
        <v>52.95</v>
      </c>
      <c r="C12" s="83">
        <f t="shared" si="0"/>
        <v>6.2335185533998874E-2</v>
      </c>
      <c r="D12" s="82">
        <f>'[1]DCHOS.RECONC.97-2006 '!C17</f>
        <v>61.18</v>
      </c>
      <c r="E12" s="83">
        <f t="shared" si="1"/>
        <v>6.5422659466395763E-2</v>
      </c>
      <c r="F12" s="82">
        <f>'[1]DCHOS.RECONC.97-2006 '!D17</f>
        <v>61.74</v>
      </c>
      <c r="G12" s="84">
        <f t="shared" si="2"/>
        <v>6.7008183377108246E-2</v>
      </c>
      <c r="H12" s="95">
        <f>'[1]DCHOS.RECONC.97-2006 '!E17</f>
        <v>50.176823060000004</v>
      </c>
      <c r="I12" s="96">
        <f>H12/$H$14</f>
        <v>2.7003255253916062E-2</v>
      </c>
      <c r="J12" s="95">
        <f>'[1]DCHOS.RECONC.97-2006 '!F17</f>
        <v>61.85</v>
      </c>
      <c r="K12" s="96">
        <f>J12/$J$14</f>
        <v>2.9360524454444908E-2</v>
      </c>
      <c r="L12" s="95">
        <f>'[1]DCHOS.RECONC.97-2006 '!G17</f>
        <v>64.64</v>
      </c>
      <c r="M12" s="96">
        <f>L12/$L$14</f>
        <v>2.3559512918733531E-2</v>
      </c>
      <c r="N12" s="95">
        <f>'[1]DCHOS.RECONC.97-2006 '!H17</f>
        <v>62.76</v>
      </c>
      <c r="O12" s="96">
        <f>N12/$N$14</f>
        <v>2.4577741401119232E-2</v>
      </c>
      <c r="P12" s="95">
        <f>'[1]DCHOS.RECONC.97-2006 '!I17</f>
        <v>44.6</v>
      </c>
      <c r="Q12" s="96">
        <f>P12/$P$14</f>
        <v>1.5318511700114373E-2</v>
      </c>
      <c r="R12" s="97">
        <f>'[1]DCHOS.RECONC.97-2006 '!J17</f>
        <v>42.23</v>
      </c>
      <c r="S12" s="98">
        <f t="shared" si="3"/>
        <v>1.4019560324279102E-2</v>
      </c>
      <c r="T12" s="97">
        <f>'[1]DCHOS.RECONC.97-2006 '!K17</f>
        <v>59.97</v>
      </c>
      <c r="U12" s="98">
        <f t="shared" si="4"/>
        <v>2.0850355154873948E-2</v>
      </c>
      <c r="V12" s="97" t="e">
        <f>#REF!</f>
        <v>#REF!</v>
      </c>
      <c r="W12" s="99" t="e">
        <f t="shared" si="5"/>
        <v>#REF!</v>
      </c>
      <c r="X12" s="129" t="e">
        <f>#REF!</f>
        <v>#REF!</v>
      </c>
      <c r="Y12" s="99" t="e">
        <f>X12/$X$14</f>
        <v>#REF!</v>
      </c>
      <c r="Z12" s="129" t="e">
        <f>#REF!</f>
        <v>#REF!</v>
      </c>
      <c r="AA12" s="99" t="e">
        <f>Z12/$Z$14</f>
        <v>#REF!</v>
      </c>
      <c r="AB12" s="121" t="e">
        <f>#REF!</f>
        <v>#REF!</v>
      </c>
      <c r="AC12" s="99" t="e">
        <f>AB12/$Z$14</f>
        <v>#REF!</v>
      </c>
    </row>
    <row r="13" spans="1:29" ht="15" x14ac:dyDescent="0.25">
      <c r="A13" s="100" t="s">
        <v>26</v>
      </c>
      <c r="B13" s="101">
        <f>SUM(B11:B12)</f>
        <v>53.14</v>
      </c>
      <c r="C13" s="102">
        <f t="shared" si="0"/>
        <v>6.2558862309286117E-2</v>
      </c>
      <c r="D13" s="101">
        <f>SUM(D11:D12)</f>
        <v>61.42</v>
      </c>
      <c r="E13" s="102">
        <f t="shared" si="1"/>
        <v>6.567930278564936E-2</v>
      </c>
      <c r="F13" s="101">
        <f>SUM(F11:F12)</f>
        <v>61.81</v>
      </c>
      <c r="G13" s="102">
        <f t="shared" si="2"/>
        <v>6.7084156374134452E-2</v>
      </c>
      <c r="H13" s="107">
        <f t="shared" ref="H13:Q13" si="9">SUM(H11:H12)</f>
        <v>50.236823060000006</v>
      </c>
      <c r="I13" s="104">
        <f t="shared" si="9"/>
        <v>2.7035544968896572E-2</v>
      </c>
      <c r="J13" s="107">
        <f t="shared" si="9"/>
        <v>61.96</v>
      </c>
      <c r="K13" s="104">
        <f t="shared" si="9"/>
        <v>2.9412742040378439E-2</v>
      </c>
      <c r="L13" s="107">
        <f t="shared" si="9"/>
        <v>64.81</v>
      </c>
      <c r="M13" s="104">
        <f t="shared" si="9"/>
        <v>2.362147327139728E-2</v>
      </c>
      <c r="N13" s="107">
        <f t="shared" si="9"/>
        <v>63.71</v>
      </c>
      <c r="O13" s="104">
        <f t="shared" si="9"/>
        <v>2.4949775408943695E-2</v>
      </c>
      <c r="P13" s="107">
        <f t="shared" si="9"/>
        <v>46.56</v>
      </c>
      <c r="Q13" s="104">
        <f t="shared" si="9"/>
        <v>1.5991701900388459E-2</v>
      </c>
      <c r="R13" s="108">
        <f>SUM(R11:R12)</f>
        <v>42.349999999999994</v>
      </c>
      <c r="S13" s="109">
        <f>SUM(S11:S12)</f>
        <v>1.4059398051935117E-2</v>
      </c>
      <c r="T13" s="108">
        <f>SUM(T11:T12)</f>
        <v>59.98</v>
      </c>
      <c r="U13" s="153">
        <f t="shared" si="4"/>
        <v>2.0853831952465221E-2</v>
      </c>
      <c r="V13" s="110" t="e">
        <f t="shared" ref="V13:AA13" si="10">SUM(V11:V12)</f>
        <v>#REF!</v>
      </c>
      <c r="W13" s="104" t="e">
        <f t="shared" si="10"/>
        <v>#REF!</v>
      </c>
      <c r="X13" s="110" t="e">
        <f t="shared" si="10"/>
        <v>#REF!</v>
      </c>
      <c r="Y13" s="104" t="e">
        <f t="shared" si="10"/>
        <v>#REF!</v>
      </c>
      <c r="Z13" s="110" t="e">
        <f t="shared" si="10"/>
        <v>#REF!</v>
      </c>
      <c r="AA13" s="104" t="e">
        <f t="shared" si="10"/>
        <v>#REF!</v>
      </c>
      <c r="AB13" s="110" t="e">
        <f>SUM(AB11:AB12)</f>
        <v>#REF!</v>
      </c>
      <c r="AC13" s="104" t="e">
        <f>SUM(AC11:AC12)</f>
        <v>#REF!</v>
      </c>
    </row>
    <row r="14" spans="1:29" ht="15" x14ac:dyDescent="0.25">
      <c r="A14" s="100" t="s">
        <v>27</v>
      </c>
      <c r="B14" s="101">
        <f>SUM(B10,B13)</f>
        <v>849.43999999999994</v>
      </c>
      <c r="C14" s="102">
        <f t="shared" si="0"/>
        <v>1</v>
      </c>
      <c r="D14" s="101">
        <f>SUM(D10,D13)</f>
        <v>935.15</v>
      </c>
      <c r="E14" s="102">
        <f t="shared" si="1"/>
        <v>1</v>
      </c>
      <c r="F14" s="101">
        <f>SUM(F10,F13)</f>
        <v>921.38000000000011</v>
      </c>
      <c r="G14" s="102">
        <f t="shared" si="2"/>
        <v>1</v>
      </c>
      <c r="H14" s="101">
        <f t="shared" ref="H14:U14" si="11">H10+H13</f>
        <v>1858.1768230600001</v>
      </c>
      <c r="I14" s="104">
        <f t="shared" si="11"/>
        <v>1</v>
      </c>
      <c r="J14" s="101">
        <f t="shared" si="11"/>
        <v>2106.5699999999997</v>
      </c>
      <c r="K14" s="104">
        <f t="shared" si="11"/>
        <v>1</v>
      </c>
      <c r="L14" s="101">
        <f t="shared" si="11"/>
        <v>2743.69</v>
      </c>
      <c r="M14" s="104">
        <f t="shared" si="11"/>
        <v>1</v>
      </c>
      <c r="N14" s="101">
        <f t="shared" si="11"/>
        <v>2553.5300000000002</v>
      </c>
      <c r="O14" s="104">
        <f t="shared" si="11"/>
        <v>1</v>
      </c>
      <c r="P14" s="101">
        <f t="shared" si="11"/>
        <v>2911.51</v>
      </c>
      <c r="Q14" s="104">
        <f t="shared" si="11"/>
        <v>0.99999999999999989</v>
      </c>
      <c r="R14" s="110">
        <f>R10+R13</f>
        <v>3012.22</v>
      </c>
      <c r="S14" s="104">
        <f t="shared" si="11"/>
        <v>1</v>
      </c>
      <c r="T14" s="110">
        <f>T10+T13</f>
        <v>2876.21</v>
      </c>
      <c r="U14" s="104">
        <f t="shared" si="11"/>
        <v>1</v>
      </c>
      <c r="V14" s="110" t="e">
        <f t="shared" ref="V14:AA14" si="12">V10+V13</f>
        <v>#REF!</v>
      </c>
      <c r="W14" s="104" t="e">
        <f t="shared" si="12"/>
        <v>#REF!</v>
      </c>
      <c r="X14" s="110" t="e">
        <f t="shared" si="12"/>
        <v>#REF!</v>
      </c>
      <c r="Y14" s="104" t="e">
        <f t="shared" si="12"/>
        <v>#REF!</v>
      </c>
      <c r="Z14" s="110" t="e">
        <f t="shared" si="12"/>
        <v>#REF!</v>
      </c>
      <c r="AA14" s="104" t="e">
        <f t="shared" si="12"/>
        <v>#REF!</v>
      </c>
      <c r="AB14" s="110" t="e">
        <f>AB10+AB13</f>
        <v>#REF!</v>
      </c>
      <c r="AC14" s="104" t="e">
        <f>AC10+AC13</f>
        <v>#REF!</v>
      </c>
    </row>
    <row r="15" spans="1:29" x14ac:dyDescent="0.2">
      <c r="A15" s="111"/>
      <c r="B15" s="112"/>
      <c r="C15" s="112"/>
      <c r="D15" s="112"/>
      <c r="E15" s="112"/>
      <c r="F15" s="112"/>
      <c r="G15" s="112"/>
      <c r="H15" s="113"/>
      <c r="I15" s="114"/>
      <c r="J15" s="114"/>
      <c r="K15" s="114"/>
      <c r="L15" s="114"/>
      <c r="M15" s="114"/>
      <c r="N15" s="114"/>
      <c r="O15" s="114"/>
      <c r="P15" s="114"/>
      <c r="Q15" s="114"/>
      <c r="T15" s="114"/>
    </row>
    <row r="16" spans="1:29" x14ac:dyDescent="0.2">
      <c r="A16" s="116" t="s">
        <v>28</v>
      </c>
      <c r="B16" s="117">
        <f>'[1]DCHOS.RECONC.97-2006 '!B18</f>
        <v>0.28999999999999998</v>
      </c>
      <c r="C16" s="118"/>
      <c r="D16" s="117">
        <f>'[1]DCHOS.RECONC.97-2006 '!C18</f>
        <v>0.36</v>
      </c>
      <c r="E16" s="118"/>
      <c r="F16" s="85">
        <f>'[1]DCHOS.RECONC.97-2006 '!D18</f>
        <v>0.1</v>
      </c>
      <c r="G16" s="118"/>
      <c r="H16" s="117">
        <f>'[1]DCHOS.RECONC.97-2006 '!E18</f>
        <v>4.7293730000000006E-2</v>
      </c>
      <c r="I16" s="120"/>
      <c r="J16" s="85">
        <f>'[1]DCHOS.RECONC.97-2006 '!F18</f>
        <v>0.06</v>
      </c>
      <c r="K16" s="120"/>
      <c r="L16" s="85">
        <f>'[1]DCHOS.RECONC.97-2006 '!G18</f>
        <v>0.04</v>
      </c>
      <c r="M16" s="120"/>
      <c r="N16" s="85">
        <f>'[1]DCHOS.RECONC.97-2006 '!H18</f>
        <v>0.02</v>
      </c>
      <c r="O16" s="120"/>
      <c r="P16" s="85">
        <f>'[1]DCHOS.RECONC.97-2006 '!I18</f>
        <v>0.01</v>
      </c>
      <c r="Q16" s="120"/>
      <c r="R16" s="121">
        <f>'[1]DCHOS.RECONC.97-2006 '!J18</f>
        <v>0</v>
      </c>
      <c r="S16" s="122"/>
      <c r="T16" s="121">
        <f>'[1]DCHOS.RECONC.97-2006 '!K18</f>
        <v>0.05</v>
      </c>
      <c r="U16" s="122"/>
      <c r="V16" s="121" t="e">
        <f>#REF!</f>
        <v>#REF!</v>
      </c>
      <c r="W16" s="196"/>
      <c r="X16" s="121" t="e">
        <f>#REF!</f>
        <v>#REF!</v>
      </c>
      <c r="Y16" s="196"/>
      <c r="Z16" s="121" t="e">
        <f>#REF!</f>
        <v>#REF!</v>
      </c>
      <c r="AA16" s="196"/>
      <c r="AB16" s="121" t="e">
        <f>#REF!</f>
        <v>#REF!</v>
      </c>
      <c r="AC16" s="196"/>
    </row>
    <row r="17" spans="1:29" x14ac:dyDescent="0.2">
      <c r="A17" s="124" t="s">
        <v>29</v>
      </c>
      <c r="B17" s="125">
        <f>'[1]DCHOS.RECONC.97-2006 '!B19</f>
        <v>50.382844710492471</v>
      </c>
      <c r="C17" s="126"/>
      <c r="D17" s="125">
        <f>'[1]DCHOS.RECONC.97-2006 '!C19</f>
        <v>17.934201194812065</v>
      </c>
      <c r="E17" s="126"/>
      <c r="F17" s="95">
        <f>'[1]DCHOS.RECONC.97-2006 '!D19</f>
        <v>143.11901241691007</v>
      </c>
      <c r="G17" s="126"/>
      <c r="H17" s="125">
        <f>'[1]DCHOS.RECONC.97-2006 '!E19</f>
        <v>159.69</v>
      </c>
      <c r="I17" s="128"/>
      <c r="J17" s="95">
        <f>'[1]DCHOS.RECONC.97-2006 '!F19</f>
        <v>6.19</v>
      </c>
      <c r="K17" s="128"/>
      <c r="L17" s="95">
        <f>'[1]DCHOS.RECONC.97-2006 '!G19</f>
        <v>10.24</v>
      </c>
      <c r="M17" s="128"/>
      <c r="N17" s="95">
        <f>'[1]DCHOS.RECONC.97-2006 '!H19</f>
        <v>362.28</v>
      </c>
      <c r="O17" s="128"/>
      <c r="P17" s="95">
        <f>'[1]DCHOS.RECONC.97-2006 '!I19</f>
        <v>146.07</v>
      </c>
      <c r="Q17" s="128"/>
      <c r="R17" s="129">
        <f>'[1]DCHOS.RECONC.97-2006 '!J19</f>
        <v>98.72</v>
      </c>
      <c r="S17" s="130"/>
      <c r="T17" s="129">
        <f>'[1]DCHOS.RECONC.97-2006 '!K19</f>
        <v>574.53</v>
      </c>
      <c r="U17" s="130"/>
      <c r="V17" s="129" t="e">
        <f>#REF!</f>
        <v>#REF!</v>
      </c>
      <c r="W17" s="195"/>
      <c r="X17" s="129" t="e">
        <f>#REF!</f>
        <v>#REF!</v>
      </c>
      <c r="Y17" s="195"/>
      <c r="Z17" s="129" t="e">
        <f>#REF!</f>
        <v>#REF!</v>
      </c>
      <c r="AA17" s="195"/>
      <c r="AB17" s="121" t="e">
        <f>#REF!</f>
        <v>#REF!</v>
      </c>
      <c r="AC17" s="195"/>
    </row>
    <row r="18" spans="1:29" ht="15" x14ac:dyDescent="0.25">
      <c r="A18" s="132" t="s">
        <v>30</v>
      </c>
      <c r="B18" s="133">
        <f>SUM(B16:B17)</f>
        <v>50.67284471049247</v>
      </c>
      <c r="C18" s="134"/>
      <c r="D18" s="165">
        <f>SUM(D16:D17)</f>
        <v>18.294201194812064</v>
      </c>
      <c r="E18" s="134"/>
      <c r="F18" s="165">
        <f>SUM(F16:G17)</f>
        <v>143.21901241691006</v>
      </c>
      <c r="G18" s="134"/>
      <c r="H18" s="165">
        <f>SUM(H16:H17)</f>
        <v>159.73729373</v>
      </c>
      <c r="I18" s="136"/>
      <c r="J18" s="101">
        <f>SUM(J16:J17)</f>
        <v>6.25</v>
      </c>
      <c r="K18" s="136"/>
      <c r="L18" s="107">
        <f>SUM(L16:L17)</f>
        <v>10.28</v>
      </c>
      <c r="M18" s="136"/>
      <c r="N18" s="107">
        <f>SUM(N16:N17)</f>
        <v>362.29999999999995</v>
      </c>
      <c r="O18" s="136"/>
      <c r="P18" s="107">
        <f>SUM(P16:P17)</f>
        <v>146.07999999999998</v>
      </c>
      <c r="Q18" s="136"/>
      <c r="R18" s="108">
        <f>SUM(R16:R17)</f>
        <v>98.72</v>
      </c>
      <c r="S18" s="137"/>
      <c r="T18" s="108">
        <f>SUM(T16:T17)</f>
        <v>574.57999999999993</v>
      </c>
      <c r="U18" s="137"/>
      <c r="V18" s="108" t="e">
        <f>SUM(V16:V17)</f>
        <v>#REF!</v>
      </c>
      <c r="W18" s="137"/>
      <c r="X18" s="108" t="e">
        <f>SUM(X16:X17)</f>
        <v>#REF!</v>
      </c>
      <c r="Y18" s="137"/>
      <c r="Z18" s="108" t="e">
        <f>SUM(Z16:Z17)</f>
        <v>#REF!</v>
      </c>
      <c r="AA18" s="137"/>
      <c r="AB18" s="108" t="e">
        <f>SUM(AB16:AB17)</f>
        <v>#REF!</v>
      </c>
      <c r="AC18" s="137"/>
    </row>
    <row r="19" spans="1:29" x14ac:dyDescent="0.2">
      <c r="A19" s="138"/>
      <c r="B19" s="112"/>
      <c r="C19" s="112"/>
      <c r="D19" s="112"/>
      <c r="E19" s="112"/>
      <c r="F19" s="112"/>
      <c r="G19" s="112"/>
      <c r="H19" s="113"/>
      <c r="I19" s="114"/>
      <c r="J19" s="114"/>
      <c r="K19" s="114"/>
      <c r="L19" s="114"/>
      <c r="M19" s="114"/>
      <c r="N19" s="114"/>
      <c r="O19" s="114"/>
      <c r="P19" s="114"/>
      <c r="Q19" s="114"/>
      <c r="T19" s="114"/>
    </row>
    <row r="20" spans="1:29" ht="15" x14ac:dyDescent="0.25">
      <c r="A20" s="132" t="s">
        <v>31</v>
      </c>
      <c r="B20" s="135">
        <f>SUM(B18,B14)</f>
        <v>900.11284471049237</v>
      </c>
      <c r="C20" s="134"/>
      <c r="D20" s="165">
        <f>SUM(D18,D14)</f>
        <v>953.44420119481208</v>
      </c>
      <c r="E20" s="134"/>
      <c r="F20" s="165">
        <f>SUM(F18,F14)</f>
        <v>1064.5990124169102</v>
      </c>
      <c r="G20" s="134"/>
      <c r="H20" s="165">
        <f>H14+H18</f>
        <v>2017.91411679</v>
      </c>
      <c r="I20" s="136"/>
      <c r="J20" s="101">
        <f>J14+J18</f>
        <v>2112.8199999999997</v>
      </c>
      <c r="K20" s="136"/>
      <c r="L20" s="101">
        <f>L14+L18</f>
        <v>2753.9700000000003</v>
      </c>
      <c r="M20" s="140"/>
      <c r="N20" s="101">
        <f>N14+N18</f>
        <v>2915.83</v>
      </c>
      <c r="O20" s="140"/>
      <c r="P20" s="101">
        <f>P14+P18</f>
        <v>3057.59</v>
      </c>
      <c r="Q20" s="136"/>
      <c r="R20" s="101">
        <f>R14+R18</f>
        <v>3110.9399999999996</v>
      </c>
      <c r="S20" s="137"/>
      <c r="T20" s="101">
        <f>T14+T18</f>
        <v>3450.79</v>
      </c>
      <c r="U20" s="137"/>
      <c r="V20" s="101" t="e">
        <f>V14+V18</f>
        <v>#REF!</v>
      </c>
      <c r="W20" s="194"/>
      <c r="X20" s="101" t="e">
        <f>X14+X18</f>
        <v>#REF!</v>
      </c>
      <c r="Y20" s="194"/>
      <c r="Z20" s="101" t="e">
        <f>Z14+Z18</f>
        <v>#REF!</v>
      </c>
      <c r="AA20" s="194"/>
      <c r="AB20" s="101" t="e">
        <f>AB14+AB18</f>
        <v>#REF!</v>
      </c>
      <c r="AC20" s="194"/>
    </row>
    <row r="21" spans="1:29" x14ac:dyDescent="0.2">
      <c r="A21" s="138"/>
      <c r="B21" s="141"/>
      <c r="C21" s="142"/>
      <c r="D21" s="141"/>
      <c r="E21" s="142"/>
      <c r="F21" s="141"/>
      <c r="G21" s="142"/>
      <c r="H21" s="111"/>
    </row>
    <row r="22" spans="1:29" x14ac:dyDescent="0.2">
      <c r="A22" s="138"/>
      <c r="B22" s="141"/>
      <c r="C22" s="142"/>
      <c r="D22" s="141"/>
      <c r="E22" s="142"/>
      <c r="F22" s="141"/>
      <c r="G22" s="142"/>
      <c r="H22" s="111"/>
    </row>
    <row r="23" spans="1:29" x14ac:dyDescent="0.2">
      <c r="B23" s="143"/>
      <c r="C23" s="144"/>
      <c r="D23" s="143"/>
      <c r="E23" s="144"/>
      <c r="F23" s="143"/>
      <c r="G23" s="144"/>
    </row>
    <row r="24" spans="1:29" ht="15" x14ac:dyDescent="0.25">
      <c r="A24" s="73" t="s">
        <v>32</v>
      </c>
      <c r="B24" s="145">
        <v>1999</v>
      </c>
      <c r="C24" s="75" t="s">
        <v>17</v>
      </c>
      <c r="D24" s="145">
        <v>2000</v>
      </c>
      <c r="E24" s="75" t="s">
        <v>17</v>
      </c>
      <c r="F24" s="145">
        <v>2001</v>
      </c>
      <c r="G24" s="75" t="s">
        <v>17</v>
      </c>
      <c r="H24" s="78">
        <v>2002</v>
      </c>
      <c r="I24" s="77" t="s">
        <v>17</v>
      </c>
      <c r="J24" s="78">
        <v>2003</v>
      </c>
      <c r="K24" s="77" t="s">
        <v>17</v>
      </c>
      <c r="L24" s="78">
        <v>2004</v>
      </c>
      <c r="M24" s="77" t="s">
        <v>17</v>
      </c>
      <c r="N24" s="78">
        <v>2005</v>
      </c>
      <c r="O24" s="77" t="s">
        <v>17</v>
      </c>
      <c r="P24" s="78">
        <v>2006</v>
      </c>
      <c r="Q24" s="77" t="s">
        <v>17</v>
      </c>
      <c r="R24" s="78">
        <v>2007</v>
      </c>
      <c r="S24" s="80" t="s">
        <v>17</v>
      </c>
      <c r="T24" s="79">
        <v>2008</v>
      </c>
      <c r="U24" s="80" t="s">
        <v>17</v>
      </c>
      <c r="V24" s="79">
        <v>2009</v>
      </c>
      <c r="W24" s="80" t="s">
        <v>17</v>
      </c>
      <c r="X24" s="79">
        <v>2010</v>
      </c>
      <c r="Y24" s="80" t="s">
        <v>17</v>
      </c>
      <c r="Z24" s="79">
        <v>2011</v>
      </c>
      <c r="AA24" s="80" t="s">
        <v>17</v>
      </c>
      <c r="AB24" s="79">
        <v>2012</v>
      </c>
      <c r="AC24" s="80" t="s">
        <v>17</v>
      </c>
    </row>
    <row r="25" spans="1:29" x14ac:dyDescent="0.2">
      <c r="A25" s="81" t="s">
        <v>33</v>
      </c>
      <c r="B25" s="82">
        <f>'[1]OBLIGAG. RECON. 97 - 06 '!B10</f>
        <v>302.3</v>
      </c>
      <c r="C25" s="83">
        <f t="shared" ref="C25:C33" si="13">B25/$B$33</f>
        <v>0.36554250958294537</v>
      </c>
      <c r="D25" s="82">
        <f>'[1]OBLIGAG. RECON. 97 - 06 '!C10</f>
        <v>341.04</v>
      </c>
      <c r="E25" s="83">
        <f t="shared" ref="E25:E33" si="14">D25/$D$33</f>
        <v>0.36806320015541022</v>
      </c>
      <c r="F25" s="82">
        <f>'[1]OBLIGAG. RECON. 97 - 06 '!D10</f>
        <v>373.26</v>
      </c>
      <c r="G25" s="146">
        <f t="shared" ref="G25:G33" si="15">F25/$F$33</f>
        <v>0.3736224137413291</v>
      </c>
      <c r="H25" s="82">
        <f>'[1]OBLIGAG. RECON. 97 - 06 '!E10</f>
        <v>405.58</v>
      </c>
      <c r="I25" s="146">
        <f t="shared" ref="I25:I33" si="16">H25/$H$33</f>
        <v>0.2049035804321577</v>
      </c>
      <c r="J25" s="82">
        <f>'[1]OBLIGAG. RECON. 97 - 06 '!F10</f>
        <v>457.76</v>
      </c>
      <c r="K25" s="146">
        <f t="shared" ref="K25:K33" si="17">J25/$J$33</f>
        <v>0.21556559125606892</v>
      </c>
      <c r="L25" s="82">
        <f>'[1]OBLIGAG. RECON. 97 - 06 '!G10</f>
        <v>496.87</v>
      </c>
      <c r="M25" s="146">
        <f t="shared" ref="M25:M33" si="18">L25/$L$33</f>
        <v>0.2156862745098039</v>
      </c>
      <c r="N25" s="82">
        <f>'[1]OBLIGAG. RECON. 97 - 06 '!H10</f>
        <v>520.9</v>
      </c>
      <c r="O25" s="146">
        <f t="shared" ref="O25:O33" si="19">N25/$N$33</f>
        <v>0.17928375983066305</v>
      </c>
      <c r="P25" s="82">
        <f>'[1]OBLIGAG. RECON. 97 - 06 '!I10</f>
        <v>536.16</v>
      </c>
      <c r="Q25" s="146">
        <f t="shared" ref="Q25:Q33" si="20">P25/$P$33</f>
        <v>0.18396168151187844</v>
      </c>
      <c r="R25" s="91">
        <f>'[1]OBLIGAG. RECON. 97 - 06 '!J10</f>
        <v>585.14</v>
      </c>
      <c r="S25" s="147">
        <f>R25/$R$33</f>
        <v>0.17924008135859043</v>
      </c>
      <c r="T25" s="87">
        <f>'[1]OBLIGAG. RECON. 97 - 06 '!K10</f>
        <v>639.54999999999995</v>
      </c>
      <c r="U25" s="146">
        <f>T25/$T$33</f>
        <v>0.17803059826966114</v>
      </c>
      <c r="V25" s="87" t="e">
        <f>#REF!</f>
        <v>#REF!</v>
      </c>
      <c r="W25" s="146" t="e">
        <f>V25/$V$33</f>
        <v>#REF!</v>
      </c>
      <c r="X25" s="121" t="e">
        <f>#REF!</f>
        <v>#REF!</v>
      </c>
      <c r="Y25" s="146" t="e">
        <f>X25/$X$33</f>
        <v>#REF!</v>
      </c>
      <c r="Z25" s="121" t="e">
        <f>#REF!</f>
        <v>#REF!</v>
      </c>
      <c r="AA25" s="146" t="e">
        <f>Z25/$Z$33</f>
        <v>#REF!</v>
      </c>
      <c r="AB25" s="121" t="e">
        <f>#REF!</f>
        <v>#REF!</v>
      </c>
      <c r="AC25" s="146" t="e">
        <f>AB25/$Z$33</f>
        <v>#REF!</v>
      </c>
    </row>
    <row r="26" spans="1:29" x14ac:dyDescent="0.2">
      <c r="A26" s="81" t="s">
        <v>34</v>
      </c>
      <c r="B26" s="82">
        <f>'[1]OBLIGAG. RECON. 97 - 06 '!B11</f>
        <v>56.4</v>
      </c>
      <c r="C26" s="83">
        <f t="shared" si="13"/>
        <v>6.8199131791194564E-2</v>
      </c>
      <c r="D26" s="82">
        <f>'[1]OBLIGAG. RECON. 97 - 06 '!C11</f>
        <v>61.17</v>
      </c>
      <c r="E26" s="83">
        <f t="shared" si="14"/>
        <v>6.6016965615489212E-2</v>
      </c>
      <c r="F26" s="82">
        <f>'[1]OBLIGAG. RECON. 97 - 06 '!D11</f>
        <v>59.02</v>
      </c>
      <c r="G26" s="83">
        <f t="shared" si="15"/>
        <v>5.9077304985836264E-2</v>
      </c>
      <c r="H26" s="82">
        <f>'[1]OBLIGAG. RECON. 97 - 06 '!E11</f>
        <v>63.02</v>
      </c>
      <c r="I26" s="83">
        <f t="shared" si="16"/>
        <v>3.1838413232493173E-2</v>
      </c>
      <c r="J26" s="82">
        <f>'[1]OBLIGAG. RECON. 97 - 06 '!F11</f>
        <v>78.150000000000006</v>
      </c>
      <c r="K26" s="83">
        <f t="shared" si="17"/>
        <v>3.6801928863731626E-2</v>
      </c>
      <c r="L26" s="82">
        <f>'[1]OBLIGAG. RECON. 97 - 06 '!G11</f>
        <v>65.06</v>
      </c>
      <c r="M26" s="83">
        <f t="shared" si="18"/>
        <v>2.824189228491928E-2</v>
      </c>
      <c r="N26" s="82">
        <f>'[1]OBLIGAG. RECON. 97 - 06 '!H11</f>
        <v>79.930000000000007</v>
      </c>
      <c r="O26" s="83">
        <f t="shared" si="19"/>
        <v>2.7510368445507579E-2</v>
      </c>
      <c r="P26" s="82">
        <f>'[1]OBLIGAG. RECON. 97 - 06 '!I11</f>
        <v>94.77</v>
      </c>
      <c r="Q26" s="83">
        <f t="shared" si="20"/>
        <v>3.2516503575202776E-2</v>
      </c>
      <c r="R26" s="91">
        <f>'[1]OBLIGAG. RECON. 97 - 06 '!J11</f>
        <v>104.55</v>
      </c>
      <c r="S26" s="84">
        <f>R26/$R$33</f>
        <v>3.2025755385105499E-2</v>
      </c>
      <c r="T26" s="91">
        <f>'[1]OBLIGAG. RECON. 97 - 06 '!K11</f>
        <v>101.79</v>
      </c>
      <c r="U26" s="83">
        <f t="shared" ref="U26:U31" si="21">T26/$T$33</f>
        <v>2.8335133449876957E-2</v>
      </c>
      <c r="V26" s="91" t="e">
        <f>#REF!</f>
        <v>#REF!</v>
      </c>
      <c r="W26" s="83" t="e">
        <f>V26/$V$33</f>
        <v>#REF!</v>
      </c>
      <c r="X26" s="94" t="e">
        <f>#REF!</f>
        <v>#REF!</v>
      </c>
      <c r="Y26" s="83" t="e">
        <f>X26/$X$33</f>
        <v>#REF!</v>
      </c>
      <c r="Z26" s="94" t="e">
        <f>#REF!</f>
        <v>#REF!</v>
      </c>
      <c r="AA26" s="83" t="e">
        <f>Z26/$Z$33</f>
        <v>#REF!</v>
      </c>
      <c r="AB26" s="121" t="e">
        <f>#REF!</f>
        <v>#REF!</v>
      </c>
      <c r="AC26" s="83" t="e">
        <f>AB26/$Z$33</f>
        <v>#REF!</v>
      </c>
    </row>
    <row r="27" spans="1:29" x14ac:dyDescent="0.2">
      <c r="A27" s="81" t="s">
        <v>35</v>
      </c>
      <c r="B27" s="82">
        <f>'[1]OBLIGAG. RECON. 97 - 06 '!B12</f>
        <v>16.55</v>
      </c>
      <c r="C27" s="83">
        <f t="shared" si="13"/>
        <v>2.0012333885536707E-2</v>
      </c>
      <c r="D27" s="82">
        <f>'[1]OBLIGAG. RECON. 97 - 06 '!C12</f>
        <v>16.170000000000002</v>
      </c>
      <c r="E27" s="83">
        <f t="shared" si="14"/>
        <v>1.7451272421161693E-2</v>
      </c>
      <c r="F27" s="82">
        <f>'[1]OBLIGAG. RECON. 97 - 06 '!D12</f>
        <v>17.72</v>
      </c>
      <c r="G27" s="83">
        <f t="shared" si="15"/>
        <v>1.7737205088936267E-2</v>
      </c>
      <c r="H27" s="82">
        <f>'[1]OBLIGAG. RECON. 97 - 06 '!E12</f>
        <v>20.52</v>
      </c>
      <c r="I27" s="83">
        <f t="shared" si="16"/>
        <v>1.0366934933842586E-2</v>
      </c>
      <c r="J27" s="82">
        <f>'[1]OBLIGAG. RECON. 97 - 06 '!F12</f>
        <v>24.23</v>
      </c>
      <c r="K27" s="83">
        <f t="shared" si="17"/>
        <v>1.1410246146746222E-2</v>
      </c>
      <c r="L27" s="82">
        <f>'[1]OBLIGAG. RECON. 97 - 06 '!G12</f>
        <v>26.9</v>
      </c>
      <c r="M27" s="83">
        <f t="shared" si="18"/>
        <v>1.1677019712024724E-2</v>
      </c>
      <c r="N27" s="82">
        <f>'[1]OBLIGAG. RECON. 97 - 06 '!H12</f>
        <v>32.44</v>
      </c>
      <c r="O27" s="83">
        <f t="shared" si="19"/>
        <v>1.1165223975632001E-2</v>
      </c>
      <c r="P27" s="82">
        <f>'[1]OBLIGAG. RECON. 97 - 06 '!I12</f>
        <v>42.24</v>
      </c>
      <c r="Q27" s="83">
        <f t="shared" si="20"/>
        <v>1.4492952527345842E-2</v>
      </c>
      <c r="R27" s="91">
        <f>'[1]OBLIGAG. RECON. 97 - 06 '!J12</f>
        <v>46.32</v>
      </c>
      <c r="S27" s="84">
        <f>R27/$R$33</f>
        <v>1.4188742127576152E-2</v>
      </c>
      <c r="T27" s="91">
        <f>'[1]OBLIGAG. RECON. 97 - 06 '!K12</f>
        <v>62.69</v>
      </c>
      <c r="U27" s="83">
        <f t="shared" si="21"/>
        <v>1.7450923626808001E-2</v>
      </c>
      <c r="V27" s="91" t="e">
        <f>#REF!</f>
        <v>#REF!</v>
      </c>
      <c r="W27" s="83" t="e">
        <f>V27/$V$33</f>
        <v>#REF!</v>
      </c>
      <c r="X27" s="94" t="e">
        <f>#REF!</f>
        <v>#REF!</v>
      </c>
      <c r="Y27" s="83" t="e">
        <f>X27/$X$33</f>
        <v>#REF!</v>
      </c>
      <c r="Z27" s="94" t="e">
        <f>#REF!</f>
        <v>#REF!</v>
      </c>
      <c r="AA27" s="83" t="e">
        <f>Z27/$Z$33</f>
        <v>#REF!</v>
      </c>
      <c r="AB27" s="121" t="e">
        <f>#REF!</f>
        <v>#REF!</v>
      </c>
      <c r="AC27" s="83" t="e">
        <f>AB27/$Z$33</f>
        <v>#REF!</v>
      </c>
    </row>
    <row r="28" spans="1:29" x14ac:dyDescent="0.2">
      <c r="A28" s="81" t="s">
        <v>21</v>
      </c>
      <c r="B28" s="82">
        <f>'[1]OBLIGAG. RECON. 97 - 06 '!B13</f>
        <v>171.41</v>
      </c>
      <c r="C28" s="83">
        <f t="shared" si="13"/>
        <v>0.20726973723986988</v>
      </c>
      <c r="D28" s="82">
        <f>'[1]OBLIGAG. RECON. 97 - 06 '!C13</f>
        <v>215.79</v>
      </c>
      <c r="E28" s="83">
        <f t="shared" si="14"/>
        <v>0.23288868743119859</v>
      </c>
      <c r="F28" s="82">
        <f>'[1]OBLIGAG. RECON. 97 - 06 '!D13</f>
        <v>248.8</v>
      </c>
      <c r="G28" s="83">
        <f t="shared" si="15"/>
        <v>0.24904157032321353</v>
      </c>
      <c r="H28" s="82">
        <f>'[1]OBLIGAG. RECON. 97 - 06 '!E13</f>
        <v>1041.51</v>
      </c>
      <c r="I28" s="148">
        <f t="shared" si="16"/>
        <v>0.52618257324300155</v>
      </c>
      <c r="J28" s="82">
        <f>'[1]OBLIGAG. RECON. 97 - 06 '!F13</f>
        <v>1133.8699999999999</v>
      </c>
      <c r="K28" s="148">
        <f t="shared" si="17"/>
        <v>0.53395525375200725</v>
      </c>
      <c r="L28" s="82">
        <f>'[1]OBLIGAG. RECON. 97 - 06 '!G13</f>
        <v>1185.1600000000001</v>
      </c>
      <c r="M28" s="148">
        <f t="shared" si="18"/>
        <v>0.51446604765439496</v>
      </c>
      <c r="N28" s="82">
        <f>'[1]OBLIGAG. RECON. 97 - 06 '!H13</f>
        <v>1690.74</v>
      </c>
      <c r="O28" s="148">
        <f t="shared" si="19"/>
        <v>0.58192018448088934</v>
      </c>
      <c r="P28" s="82">
        <f>'[1]OBLIGAG. RECON. 97 - 06 '!I13</f>
        <v>1706.6</v>
      </c>
      <c r="Q28" s="148">
        <f t="shared" si="20"/>
        <v>0.58555096551061581</v>
      </c>
      <c r="R28" s="91">
        <f>'[1]OBLIGAG. RECON. 97 - 06 '!J13</f>
        <v>1930.86</v>
      </c>
      <c r="S28" s="149">
        <f>R28/$R$33</f>
        <v>0.59146102384394827</v>
      </c>
      <c r="T28" s="97">
        <f>'[1]OBLIGAG. RECON. 97 - 06 '!K13</f>
        <v>2105.65</v>
      </c>
      <c r="U28" s="148">
        <f t="shared" si="21"/>
        <v>0.5861467113540958</v>
      </c>
      <c r="V28" s="97" t="e">
        <f>#REF!</f>
        <v>#REF!</v>
      </c>
      <c r="W28" s="148" t="e">
        <f>V28/$V$33</f>
        <v>#REF!</v>
      </c>
      <c r="X28" s="129" t="e">
        <f>#REF!</f>
        <v>#REF!</v>
      </c>
      <c r="Y28" s="148" t="e">
        <f>X28/$X$33</f>
        <v>#REF!</v>
      </c>
      <c r="Z28" s="129" t="e">
        <f>#REF!</f>
        <v>#REF!</v>
      </c>
      <c r="AA28" s="148" t="e">
        <f>Z28/$Z$33</f>
        <v>#REF!</v>
      </c>
      <c r="AB28" s="121" t="e">
        <f>#REF!</f>
        <v>#REF!</v>
      </c>
      <c r="AC28" s="148" t="e">
        <f>AB28/$Z$33</f>
        <v>#REF!</v>
      </c>
    </row>
    <row r="29" spans="1:29" ht="15" x14ac:dyDescent="0.25">
      <c r="A29" s="100" t="s">
        <v>36</v>
      </c>
      <c r="B29" s="101">
        <f>SUM(B25:B28)</f>
        <v>546.66</v>
      </c>
      <c r="C29" s="102">
        <f t="shared" si="13"/>
        <v>0.6610237124995465</v>
      </c>
      <c r="D29" s="101">
        <f>SUM(D25:D28)</f>
        <v>634.17000000000007</v>
      </c>
      <c r="E29" s="102">
        <f t="shared" si="14"/>
        <v>0.68442012562325982</v>
      </c>
      <c r="F29" s="101">
        <f>SUM(F25:F28)</f>
        <v>698.8</v>
      </c>
      <c r="G29" s="102">
        <f t="shared" si="15"/>
        <v>0.69947849413931507</v>
      </c>
      <c r="H29" s="150">
        <f>SUM(H25:H28)</f>
        <v>1530.6299999999999</v>
      </c>
      <c r="I29" s="102">
        <f t="shared" si="16"/>
        <v>0.77329150184149498</v>
      </c>
      <c r="J29" s="150">
        <f>SUM(J25:J28)</f>
        <v>1694.0099999999998</v>
      </c>
      <c r="K29" s="102">
        <f t="shared" si="17"/>
        <v>0.79773302001855395</v>
      </c>
      <c r="L29" s="150">
        <f>SUM(L25:L28)</f>
        <v>1773.9900000000002</v>
      </c>
      <c r="M29" s="102">
        <f t="shared" si="18"/>
        <v>0.77007123416114298</v>
      </c>
      <c r="N29" s="150">
        <f>SUM(N25:N28)</f>
        <v>2324.0100000000002</v>
      </c>
      <c r="O29" s="102">
        <f t="shared" si="19"/>
        <v>0.79987953673269196</v>
      </c>
      <c r="P29" s="150">
        <f>SUM(P25:P28)</f>
        <v>2379.77</v>
      </c>
      <c r="Q29" s="102">
        <f t="shared" si="20"/>
        <v>0.81652210312504292</v>
      </c>
      <c r="R29" s="110">
        <f t="shared" ref="R29:W29" si="22">SUM(R25:R28)</f>
        <v>2666.87</v>
      </c>
      <c r="S29" s="151">
        <f t="shared" si="22"/>
        <v>0.81691560271522035</v>
      </c>
      <c r="T29" s="105">
        <f t="shared" si="22"/>
        <v>2909.6800000000003</v>
      </c>
      <c r="U29" s="152">
        <f t="shared" si="22"/>
        <v>0.80996336670044189</v>
      </c>
      <c r="V29" s="110" t="e">
        <f t="shared" si="22"/>
        <v>#REF!</v>
      </c>
      <c r="W29" s="153" t="e">
        <f t="shared" si="22"/>
        <v>#REF!</v>
      </c>
      <c r="X29" s="110" t="e">
        <f t="shared" ref="X29:AC29" si="23">SUM(X25:X28)</f>
        <v>#REF!</v>
      </c>
      <c r="Y29" s="153" t="e">
        <f t="shared" si="23"/>
        <v>#REF!</v>
      </c>
      <c r="Z29" s="110" t="e">
        <f t="shared" si="23"/>
        <v>#REF!</v>
      </c>
      <c r="AA29" s="153" t="e">
        <f t="shared" si="23"/>
        <v>#REF!</v>
      </c>
      <c r="AB29" s="110" t="e">
        <f t="shared" si="23"/>
        <v>#REF!</v>
      </c>
      <c r="AC29" s="153" t="e">
        <f t="shared" si="23"/>
        <v>#REF!</v>
      </c>
    </row>
    <row r="30" spans="1:29" ht="20.25" customHeight="1" x14ac:dyDescent="0.2">
      <c r="A30" s="81" t="s">
        <v>37</v>
      </c>
      <c r="B30" s="82">
        <f>'[1]OBLIGAG. RECON. 97 - 06 '!B14</f>
        <v>139.66</v>
      </c>
      <c r="C30" s="83">
        <f t="shared" si="13"/>
        <v>0.16887749549571338</v>
      </c>
      <c r="D30" s="82">
        <f>'[1]OBLIGAG. RECON. 97 - 06 '!C14</f>
        <v>133.41999999999999</v>
      </c>
      <c r="E30" s="83">
        <f t="shared" si="14"/>
        <v>0.14399188413304839</v>
      </c>
      <c r="F30" s="82">
        <f>'[1]OBLIGAG. RECON. 97 - 06 '!D14</f>
        <v>144.22999999999999</v>
      </c>
      <c r="G30" s="83">
        <f t="shared" si="15"/>
        <v>0.14437003893776962</v>
      </c>
      <c r="H30" s="82">
        <f>'[1]OBLIGAG. RECON. 97 - 06 '!E14</f>
        <v>184.18</v>
      </c>
      <c r="I30" s="83">
        <f t="shared" si="16"/>
        <v>9.3049808777540335E-2</v>
      </c>
      <c r="J30" s="82">
        <f>'[1]OBLIGAG. RECON. 97 - 06 '!F14</f>
        <v>160.66999999999999</v>
      </c>
      <c r="K30" s="83">
        <f t="shared" si="17"/>
        <v>7.5661751894251561E-2</v>
      </c>
      <c r="L30" s="82">
        <f>'[1]OBLIGAG. RECON. 97 - 06 '!G14</f>
        <v>249.35</v>
      </c>
      <c r="M30" s="83">
        <f t="shared" si="18"/>
        <v>0.10824032956109164</v>
      </c>
      <c r="N30" s="82">
        <f>'[1]OBLIGAG. RECON. 97 - 06 '!H14</f>
        <v>312.64999999999998</v>
      </c>
      <c r="O30" s="83">
        <f t="shared" si="19"/>
        <v>0.10760811578240891</v>
      </c>
      <c r="P30" s="82">
        <f>'[1]OBLIGAG. RECON. 97 - 06 '!I14</f>
        <v>207.38</v>
      </c>
      <c r="Q30" s="83">
        <f t="shared" si="20"/>
        <v>7.1154083691311085E-2</v>
      </c>
      <c r="R30" s="91">
        <f>'[1]OBLIGAG. RECON. 97 - 06 '!J14</f>
        <v>225.1</v>
      </c>
      <c r="S30" s="147">
        <f>R30/$R$33</f>
        <v>6.8952630676109489E-2</v>
      </c>
      <c r="T30" s="87">
        <f>'[1]OBLIGAG. RECON. 97 - 06 '!K14</f>
        <v>222.06</v>
      </c>
      <c r="U30" s="146">
        <f t="shared" si="21"/>
        <v>6.1814517475976785E-2</v>
      </c>
      <c r="V30" s="121" t="e">
        <f>#REF!</f>
        <v>#REF!</v>
      </c>
      <c r="W30" s="146" t="e">
        <f>V30/$V$33</f>
        <v>#REF!</v>
      </c>
      <c r="X30" s="121" t="e">
        <f>#REF!</f>
        <v>#REF!</v>
      </c>
      <c r="Y30" s="146" t="e">
        <f>X30/$X$33</f>
        <v>#REF!</v>
      </c>
      <c r="Z30" s="121" t="e">
        <f>#REF!</f>
        <v>#REF!</v>
      </c>
      <c r="AA30" s="146" t="e">
        <f>Z30/$Z$33</f>
        <v>#REF!</v>
      </c>
      <c r="AB30" s="121" t="e">
        <f>#REF!</f>
        <v>#REF!</v>
      </c>
      <c r="AC30" s="146" t="e">
        <f>AB30/$Z$33</f>
        <v>#REF!</v>
      </c>
    </row>
    <row r="31" spans="1:29" x14ac:dyDescent="0.2">
      <c r="A31" s="81" t="s">
        <v>38</v>
      </c>
      <c r="B31" s="82">
        <f>'[1]OBLIGAG. RECON. 97 - 06 '!B15</f>
        <v>140.66999999999999</v>
      </c>
      <c r="C31" s="83">
        <f t="shared" si="13"/>
        <v>0.17009879200474007</v>
      </c>
      <c r="D31" s="82">
        <f>'[1]OBLIGAG. RECON. 97 - 06 '!C15</f>
        <v>158.99</v>
      </c>
      <c r="E31" s="83">
        <f t="shared" si="14"/>
        <v>0.17158799024369187</v>
      </c>
      <c r="F31" s="82">
        <f>'[1]OBLIGAG. RECON. 97 - 06 '!D15</f>
        <v>156</v>
      </c>
      <c r="G31" s="83">
        <f t="shared" si="15"/>
        <v>0.15615146692291523</v>
      </c>
      <c r="H31" s="82">
        <f>'[1]OBLIGAG. RECON. 97 - 06 '!E15</f>
        <v>264.56</v>
      </c>
      <c r="I31" s="83">
        <f t="shared" si="16"/>
        <v>0.13365868938096465</v>
      </c>
      <c r="J31" s="82">
        <f>'[1]OBLIGAG. RECON. 97 - 06 '!F15</f>
        <v>268.85000000000002</v>
      </c>
      <c r="K31" s="83">
        <f t="shared" si="17"/>
        <v>0.12660522808719446</v>
      </c>
      <c r="L31" s="82">
        <f>'[1]OBLIGAG. RECON. 97 - 06 '!G15</f>
        <v>280.33</v>
      </c>
      <c r="M31" s="83">
        <f t="shared" si="18"/>
        <v>0.12168843627776547</v>
      </c>
      <c r="N31" s="82">
        <f>'[1]OBLIGAG. RECON. 97 - 06 '!H15</f>
        <v>268.79000000000002</v>
      </c>
      <c r="O31" s="83">
        <f t="shared" si="19"/>
        <v>9.2512347484899074E-2</v>
      </c>
      <c r="P31" s="82">
        <f>'[1]OBLIGAG. RECON. 97 - 06 '!I15</f>
        <v>327.37</v>
      </c>
      <c r="Q31" s="83">
        <f t="shared" si="20"/>
        <v>0.11232381318364602</v>
      </c>
      <c r="R31" s="91">
        <f>'[1]OBLIGAG. RECON. 97 - 06 '!J15</f>
        <v>372.59</v>
      </c>
      <c r="S31" s="149">
        <f>R31/$R$33</f>
        <v>0.11413176660867008</v>
      </c>
      <c r="T31" s="97">
        <f>'[1]OBLIGAG. RECON. 97 - 06 '!K15</f>
        <v>460.62</v>
      </c>
      <c r="U31" s="148">
        <f t="shared" si="21"/>
        <v>0.12822211582358115</v>
      </c>
      <c r="V31" s="129" t="e">
        <f>#REF!</f>
        <v>#REF!</v>
      </c>
      <c r="W31" s="148" t="e">
        <f>V31/$V$33</f>
        <v>#REF!</v>
      </c>
      <c r="X31" s="129" t="e">
        <f>#REF!</f>
        <v>#REF!</v>
      </c>
      <c r="Y31" s="148" t="e">
        <f>X31/$X$33</f>
        <v>#REF!</v>
      </c>
      <c r="Z31" s="129" t="e">
        <f>#REF!</f>
        <v>#REF!</v>
      </c>
      <c r="AA31" s="148" t="e">
        <f>Z31/$Z$33</f>
        <v>#REF!</v>
      </c>
      <c r="AB31" s="121" t="e">
        <f>#REF!</f>
        <v>#REF!</v>
      </c>
      <c r="AC31" s="148" t="e">
        <f>AB31/$Z$33</f>
        <v>#REF!</v>
      </c>
    </row>
    <row r="32" spans="1:29" ht="15" x14ac:dyDescent="0.25">
      <c r="A32" s="100" t="s">
        <v>39</v>
      </c>
      <c r="B32" s="101">
        <f>SUM(B30:B31)</f>
        <v>280.33</v>
      </c>
      <c r="C32" s="102">
        <f t="shared" si="13"/>
        <v>0.33897628750045344</v>
      </c>
      <c r="D32" s="101">
        <f>SUM(D30:D31)</f>
        <v>292.40999999999997</v>
      </c>
      <c r="E32" s="102">
        <f t="shared" si="14"/>
        <v>0.31557987437674023</v>
      </c>
      <c r="F32" s="101">
        <f>SUM(F30:F31)</f>
        <v>300.23</v>
      </c>
      <c r="G32" s="102">
        <f t="shared" si="15"/>
        <v>0.30052150586068488</v>
      </c>
      <c r="H32" s="150">
        <f>SUM(H30:H31)</f>
        <v>448.74</v>
      </c>
      <c r="I32" s="102">
        <f t="shared" si="16"/>
        <v>0.226708498158505</v>
      </c>
      <c r="J32" s="150">
        <f>SUM(J30:J31)</f>
        <v>429.52</v>
      </c>
      <c r="K32" s="102">
        <f t="shared" si="17"/>
        <v>0.20226697998144599</v>
      </c>
      <c r="L32" s="150">
        <f>SUM(L30:L31)</f>
        <v>529.67999999999995</v>
      </c>
      <c r="M32" s="102">
        <f t="shared" si="18"/>
        <v>0.2299287658388571</v>
      </c>
      <c r="N32" s="150">
        <f>SUM(N30:N31)</f>
        <v>581.44000000000005</v>
      </c>
      <c r="O32" s="102">
        <f t="shared" si="19"/>
        <v>0.20012046326730798</v>
      </c>
      <c r="P32" s="150">
        <f>SUM(P30:P31)</f>
        <v>534.75</v>
      </c>
      <c r="Q32" s="102">
        <f t="shared" si="20"/>
        <v>0.18347789687495711</v>
      </c>
      <c r="R32" s="110">
        <f>SUM(R30:R31)</f>
        <v>597.68999999999994</v>
      </c>
      <c r="S32" s="151">
        <f>R32/$R$33</f>
        <v>0.18308439728477957</v>
      </c>
      <c r="T32" s="108">
        <f t="shared" ref="T32:AA32" si="24">SUM(T30:T31)</f>
        <v>682.68000000000006</v>
      </c>
      <c r="U32" s="153">
        <f t="shared" si="24"/>
        <v>0.19003663329955794</v>
      </c>
      <c r="V32" s="110" t="e">
        <f t="shared" si="24"/>
        <v>#REF!</v>
      </c>
      <c r="W32" s="104" t="e">
        <f t="shared" si="24"/>
        <v>#REF!</v>
      </c>
      <c r="X32" s="110" t="e">
        <f t="shared" si="24"/>
        <v>#REF!</v>
      </c>
      <c r="Y32" s="104" t="e">
        <f t="shared" si="24"/>
        <v>#REF!</v>
      </c>
      <c r="Z32" s="110" t="e">
        <f t="shared" si="24"/>
        <v>#REF!</v>
      </c>
      <c r="AA32" s="104" t="e">
        <f t="shared" si="24"/>
        <v>#REF!</v>
      </c>
      <c r="AB32" s="110" t="e">
        <f>SUM(AB30:AB31)</f>
        <v>#REF!</v>
      </c>
      <c r="AC32" s="104" t="e">
        <f>SUM(AC30:AC31)</f>
        <v>#REF!</v>
      </c>
    </row>
    <row r="33" spans="1:29" ht="15" x14ac:dyDescent="0.25">
      <c r="A33" s="100" t="s">
        <v>40</v>
      </c>
      <c r="B33" s="101">
        <f>SUM(B32,B29)</f>
        <v>826.99</v>
      </c>
      <c r="C33" s="102">
        <f t="shared" si="13"/>
        <v>1</v>
      </c>
      <c r="D33" s="101">
        <f>SUM(D32,D29)</f>
        <v>926.58</v>
      </c>
      <c r="E33" s="102">
        <f t="shared" si="14"/>
        <v>1</v>
      </c>
      <c r="F33" s="101">
        <f>SUM(F32,F29)</f>
        <v>999.03</v>
      </c>
      <c r="G33" s="102">
        <f t="shared" si="15"/>
        <v>1</v>
      </c>
      <c r="H33" s="150">
        <f>H29+H32</f>
        <v>1979.37</v>
      </c>
      <c r="I33" s="102">
        <f t="shared" si="16"/>
        <v>1</v>
      </c>
      <c r="J33" s="150">
        <f>J29+J32</f>
        <v>2123.5299999999997</v>
      </c>
      <c r="K33" s="102">
        <f t="shared" si="17"/>
        <v>1</v>
      </c>
      <c r="L33" s="150">
        <f>L29+L32</f>
        <v>2303.67</v>
      </c>
      <c r="M33" s="102">
        <f t="shared" si="18"/>
        <v>1</v>
      </c>
      <c r="N33" s="150">
        <f>N29+N32</f>
        <v>2905.4500000000003</v>
      </c>
      <c r="O33" s="102">
        <f t="shared" si="19"/>
        <v>1</v>
      </c>
      <c r="P33" s="150">
        <f>P32+P29</f>
        <v>2914.52</v>
      </c>
      <c r="Q33" s="102">
        <f t="shared" si="20"/>
        <v>1</v>
      </c>
      <c r="R33" s="150">
        <f>R32+R29</f>
        <v>3264.56</v>
      </c>
      <c r="S33" s="102">
        <f>R33/$R$33</f>
        <v>1</v>
      </c>
      <c r="T33" s="150">
        <f>T32+T29</f>
        <v>3592.3600000000006</v>
      </c>
      <c r="U33" s="104">
        <f>U29+U32</f>
        <v>0.99999999999999978</v>
      </c>
      <c r="V33" s="150" t="e">
        <f>V32+V29</f>
        <v>#REF!</v>
      </c>
      <c r="W33" s="104" t="e">
        <f>W29+W32</f>
        <v>#REF!</v>
      </c>
      <c r="X33" s="150" t="e">
        <f>X32+X29</f>
        <v>#REF!</v>
      </c>
      <c r="Y33" s="104" t="e">
        <f>Y29+Y32</f>
        <v>#REF!</v>
      </c>
      <c r="Z33" s="150" t="e">
        <f>Z32+Z29</f>
        <v>#REF!</v>
      </c>
      <c r="AA33" s="104" t="e">
        <f>AA29+AA32</f>
        <v>#REF!</v>
      </c>
      <c r="AB33" s="150" t="e">
        <f>AB32+AB29</f>
        <v>#REF!</v>
      </c>
      <c r="AC33" s="104" t="e">
        <f>AC29+AC32</f>
        <v>#REF!</v>
      </c>
    </row>
    <row r="34" spans="1:29" x14ac:dyDescent="0.2">
      <c r="A34" s="115"/>
      <c r="B34" s="154"/>
      <c r="C34" s="154"/>
      <c r="D34" s="154"/>
      <c r="E34" s="154"/>
      <c r="F34" s="154"/>
      <c r="G34" s="154"/>
      <c r="H34" s="114"/>
      <c r="I34" s="114"/>
      <c r="J34" s="114"/>
      <c r="K34" s="114"/>
      <c r="L34" s="114"/>
      <c r="M34" s="114"/>
      <c r="N34" s="114"/>
      <c r="O34" s="114"/>
      <c r="P34" s="114"/>
      <c r="Q34" s="114"/>
      <c r="T34" s="114"/>
    </row>
    <row r="35" spans="1:29" x14ac:dyDescent="0.2">
      <c r="A35" s="155" t="s">
        <v>28</v>
      </c>
      <c r="B35" s="82">
        <f>'[1]OBLIGAG. RECON. 97 - 06 '!B16</f>
        <v>3.53</v>
      </c>
      <c r="C35" s="119"/>
      <c r="D35" s="85">
        <f>'[1]OBLIGAG. RECON. 97 - 06 '!C16</f>
        <v>6.87</v>
      </c>
      <c r="E35" s="119"/>
      <c r="F35" s="85">
        <f>'[1]OBLIGAG. RECON. 97 - 06 '!D16</f>
        <v>10.26</v>
      </c>
      <c r="G35" s="156"/>
      <c r="H35" s="85">
        <f>'[1]OBLIGAG. RECON. 97 - 06 '!E16</f>
        <v>8.92</v>
      </c>
      <c r="I35" s="157"/>
      <c r="J35" s="85">
        <f>'[1]OBLIGAG. RECON. 97 - 06 '!F16</f>
        <v>5.37</v>
      </c>
      <c r="K35" s="158"/>
      <c r="L35" s="85">
        <f>'[1]OBLIGAG. RECON. 97 - 06 '!G16</f>
        <v>1</v>
      </c>
      <c r="M35" s="158"/>
      <c r="N35" s="85">
        <f>'[1]OBLIGAG. RECON. 97 - 06 '!H16</f>
        <v>3.22</v>
      </c>
      <c r="O35" s="157"/>
      <c r="P35" s="85">
        <f>'[1]OBLIGAG. RECON. 97 - 06 '!I16</f>
        <v>0.67</v>
      </c>
      <c r="Q35" s="157"/>
      <c r="R35" s="85">
        <f>'[1]OBLIGAG. RECON. 97 - 06 '!J16</f>
        <v>0.38</v>
      </c>
      <c r="S35" s="159"/>
      <c r="T35" s="121">
        <f>'[1]OBLIGAG. RECON. 97 - 06 '!K16</f>
        <v>1.28</v>
      </c>
      <c r="U35" s="123"/>
      <c r="V35" s="121" t="e">
        <f>#REF!</f>
        <v>#REF!</v>
      </c>
      <c r="W35" s="196"/>
      <c r="X35" s="121" t="e">
        <f>#REF!</f>
        <v>#REF!</v>
      </c>
      <c r="Y35" s="196"/>
      <c r="Z35" s="121" t="e">
        <f>#REF!</f>
        <v>#REF!</v>
      </c>
      <c r="AA35" s="196"/>
      <c r="AB35" s="121" t="e">
        <f>#REF!</f>
        <v>#REF!</v>
      </c>
      <c r="AC35" s="196"/>
    </row>
    <row r="36" spans="1:29" x14ac:dyDescent="0.2">
      <c r="A36" s="160" t="s">
        <v>29</v>
      </c>
      <c r="B36" s="82">
        <f>'[1]OBLIGAG. RECON. 97 - 06 '!B17</f>
        <v>50.38</v>
      </c>
      <c r="C36" s="127"/>
      <c r="D36" s="95">
        <f>'[1]OBLIGAG. RECON. 97 - 06 '!C17</f>
        <v>8.93</v>
      </c>
      <c r="E36" s="127"/>
      <c r="F36" s="95">
        <f>'[1]OBLIGAG. RECON. 97 - 06 '!D17</f>
        <v>4.01</v>
      </c>
      <c r="G36" s="161"/>
      <c r="H36" s="95">
        <f>'[1]OBLIGAG. RECON. 97 - 06 '!E17</f>
        <v>4.01</v>
      </c>
      <c r="I36" s="162"/>
      <c r="J36" s="95">
        <f>'[1]OBLIGAG. RECON. 97 - 06 '!F17</f>
        <v>6.19</v>
      </c>
      <c r="K36" s="163"/>
      <c r="L36" s="95">
        <f>'[1]OBLIGAG. RECON. 97 - 06 '!G17</f>
        <v>10.24</v>
      </c>
      <c r="M36" s="163"/>
      <c r="N36" s="95">
        <f>'[1]OBLIGAG. RECON. 97 - 06 '!H17</f>
        <v>42.27</v>
      </c>
      <c r="O36" s="162"/>
      <c r="P36" s="95">
        <f>'[1]OBLIGAG. RECON. 97 - 06 '!I17</f>
        <v>42.07</v>
      </c>
      <c r="Q36" s="162"/>
      <c r="R36" s="95">
        <f>'[1]OBLIGAG. RECON. 97 - 06 '!J17</f>
        <v>42.07</v>
      </c>
      <c r="S36" s="164"/>
      <c r="T36" s="129">
        <f>'[1]OBLIGAG. RECON. 97 - 06 '!K17</f>
        <v>42.07</v>
      </c>
      <c r="U36" s="131"/>
      <c r="V36" s="129" t="e">
        <f>#REF!</f>
        <v>#REF!</v>
      </c>
      <c r="W36" s="195"/>
      <c r="X36" s="129" t="e">
        <f>#REF!</f>
        <v>#REF!</v>
      </c>
      <c r="Y36" s="195"/>
      <c r="Z36" s="129" t="e">
        <f>#REF!</f>
        <v>#REF!</v>
      </c>
      <c r="AA36" s="195"/>
      <c r="AB36" s="121" t="e">
        <f>#REF!</f>
        <v>#REF!</v>
      </c>
      <c r="AC36" s="195"/>
    </row>
    <row r="37" spans="1:29" ht="15" x14ac:dyDescent="0.25">
      <c r="A37" s="132" t="s">
        <v>41</v>
      </c>
      <c r="B37" s="165">
        <f>SUM(B35:B36)</f>
        <v>53.910000000000004</v>
      </c>
      <c r="C37" s="134"/>
      <c r="D37" s="165">
        <f>SUM(D35:D36)</f>
        <v>15.8</v>
      </c>
      <c r="E37" s="134"/>
      <c r="F37" s="165">
        <f>SUM(F35:F36)</f>
        <v>14.27</v>
      </c>
      <c r="G37" s="166"/>
      <c r="H37" s="101">
        <f>SUM(H35:H36)</f>
        <v>12.93</v>
      </c>
      <c r="I37" s="136"/>
      <c r="J37" s="139">
        <f>SUM(J35:J36)</f>
        <v>11.56</v>
      </c>
      <c r="K37" s="140"/>
      <c r="L37" s="139">
        <f>SUM(L35:L36)</f>
        <v>11.24</v>
      </c>
      <c r="M37" s="140"/>
      <c r="N37" s="101">
        <f>SUM(N35:N36)</f>
        <v>45.49</v>
      </c>
      <c r="O37" s="140"/>
      <c r="P37" s="101">
        <f>SUM(P35:P36)</f>
        <v>42.74</v>
      </c>
      <c r="Q37" s="140"/>
      <c r="R37" s="110">
        <f>SUM(R35:R36)</f>
        <v>42.45</v>
      </c>
      <c r="S37" s="137"/>
      <c r="T37" s="108">
        <f>SUM(T35:T36)</f>
        <v>43.35</v>
      </c>
      <c r="U37" s="137"/>
      <c r="V37" s="110" t="e">
        <f>SUM(V35:V36)</f>
        <v>#REF!</v>
      </c>
      <c r="W37" s="194"/>
      <c r="X37" s="110" t="e">
        <f>SUM(X35:X36)</f>
        <v>#REF!</v>
      </c>
      <c r="Y37" s="194"/>
      <c r="Z37" s="110" t="e">
        <f>SUM(Z35:Z36)</f>
        <v>#REF!</v>
      </c>
      <c r="AA37" s="194"/>
      <c r="AB37" s="110" t="e">
        <f>SUM(AB35:AB36)</f>
        <v>#REF!</v>
      </c>
      <c r="AC37" s="194"/>
    </row>
    <row r="38" spans="1:29" x14ac:dyDescent="0.2">
      <c r="A38" s="138"/>
      <c r="B38" s="112"/>
      <c r="C38" s="112"/>
      <c r="D38" s="112"/>
      <c r="E38" s="112"/>
      <c r="F38" s="112"/>
      <c r="G38" s="112"/>
      <c r="H38" s="114"/>
      <c r="I38" s="114"/>
      <c r="J38" s="114"/>
      <c r="K38" s="114"/>
      <c r="L38" s="114"/>
      <c r="M38" s="114"/>
      <c r="N38" s="114"/>
      <c r="O38" s="114"/>
      <c r="P38" s="114"/>
      <c r="Q38" s="114"/>
      <c r="T38" s="114"/>
    </row>
    <row r="39" spans="1:29" ht="15" x14ac:dyDescent="0.25">
      <c r="A39" s="132" t="s">
        <v>42</v>
      </c>
      <c r="B39" s="165">
        <f>SUM(B37,B33)</f>
        <v>880.9</v>
      </c>
      <c r="C39" s="167"/>
      <c r="D39" s="165">
        <f>SUM(D37,D33)</f>
        <v>942.38</v>
      </c>
      <c r="E39" s="167"/>
      <c r="F39" s="165">
        <f>SUM(F37,F33)</f>
        <v>1013.3</v>
      </c>
      <c r="G39" s="168"/>
      <c r="H39" s="101">
        <f>H33+H37</f>
        <v>1992.3</v>
      </c>
      <c r="I39" s="140"/>
      <c r="J39" s="101">
        <f>J33+J37</f>
        <v>2135.0899999999997</v>
      </c>
      <c r="K39" s="140"/>
      <c r="L39" s="101">
        <f>L33+L37</f>
        <v>2314.91</v>
      </c>
      <c r="M39" s="140"/>
      <c r="N39" s="101">
        <f>N33+N37</f>
        <v>2950.94</v>
      </c>
      <c r="O39" s="140"/>
      <c r="P39" s="101">
        <f>P33+P37</f>
        <v>2957.2599999999998</v>
      </c>
      <c r="Q39" s="140"/>
      <c r="R39" s="101">
        <f>R33+R37</f>
        <v>3307.0099999999998</v>
      </c>
      <c r="S39" s="137"/>
      <c r="T39" s="101">
        <f>T33+T37</f>
        <v>3635.7100000000005</v>
      </c>
      <c r="U39" s="137"/>
      <c r="V39" s="101" t="e">
        <f>V33+V37</f>
        <v>#REF!</v>
      </c>
      <c r="W39" s="194"/>
      <c r="X39" s="101" t="e">
        <f>X33+X37</f>
        <v>#REF!</v>
      </c>
      <c r="Y39" s="194"/>
      <c r="Z39" s="101" t="e">
        <f>Z33+Z37</f>
        <v>#REF!</v>
      </c>
      <c r="AA39" s="194"/>
      <c r="AB39" s="101" t="e">
        <f>AB33+AB37</f>
        <v>#REF!</v>
      </c>
      <c r="AC39" s="194"/>
    </row>
    <row r="40" spans="1:29" x14ac:dyDescent="0.2">
      <c r="B40" s="143"/>
      <c r="C40" s="144"/>
      <c r="D40" s="143"/>
      <c r="E40" s="144"/>
      <c r="F40" s="143"/>
      <c r="G40" s="144"/>
    </row>
  </sheetData>
  <mergeCells count="2">
    <mergeCell ref="B1:AA1"/>
    <mergeCell ref="B2:AA2"/>
  </mergeCells>
  <printOptions horizontalCentered="1" verticalCentered="1"/>
  <pageMargins left="0.15748031496062992" right="0.15748031496062992" top="0.39370078740157483" bottom="0.39370078740157483" header="0" footer="0"/>
  <pageSetup paperSize="9" scale="61" orientation="landscape"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FF00"/>
  </sheetPr>
  <dimension ref="B1:X72"/>
  <sheetViews>
    <sheetView tabSelected="1" topLeftCell="B1" zoomScaleNormal="100" zoomScaleSheetLayoutView="75" workbookViewId="0">
      <selection activeCell="G35" sqref="G35"/>
    </sheetView>
  </sheetViews>
  <sheetFormatPr baseColWidth="10" defaultRowHeight="12.75" x14ac:dyDescent="0.2"/>
  <cols>
    <col min="2" max="2" width="8.7109375" customWidth="1"/>
    <col min="3" max="3" width="17.42578125" customWidth="1"/>
    <col min="4" max="4" width="29.85546875" customWidth="1"/>
    <col min="5" max="5" width="30.140625" customWidth="1"/>
    <col min="6" max="6" width="30" customWidth="1"/>
    <col min="7" max="7" width="31.140625" customWidth="1"/>
    <col min="8" max="8" width="4" customWidth="1"/>
    <col min="11" max="11" width="11" customWidth="1"/>
  </cols>
  <sheetData>
    <row r="1" spans="3:24" ht="18" customHeight="1" x14ac:dyDescent="0.2"/>
    <row r="2" spans="3:24" ht="20.100000000000001" customHeight="1" x14ac:dyDescent="0.3">
      <c r="C2" s="250" t="s">
        <v>121</v>
      </c>
      <c r="D2" s="250"/>
      <c r="E2" s="250"/>
      <c r="F2" s="250"/>
      <c r="G2" s="250"/>
    </row>
    <row r="3" spans="3:24" ht="17.25" customHeight="1" x14ac:dyDescent="0.2">
      <c r="C3" s="3"/>
      <c r="D3" s="3"/>
      <c r="E3" s="3"/>
      <c r="F3" s="3"/>
      <c r="G3" s="3"/>
    </row>
    <row r="4" spans="3:24" ht="17.25" customHeight="1" x14ac:dyDescent="0.2">
      <c r="C4" s="64" t="s">
        <v>116</v>
      </c>
      <c r="D4" s="64" t="s">
        <v>122</v>
      </c>
      <c r="E4" s="64" t="s">
        <v>117</v>
      </c>
      <c r="F4" s="64" t="s">
        <v>118</v>
      </c>
      <c r="G4" s="64" t="s">
        <v>119</v>
      </c>
    </row>
    <row r="5" spans="3:24" ht="15.75" hidden="1" x14ac:dyDescent="0.2">
      <c r="C5" s="198">
        <v>1983</v>
      </c>
      <c r="D5" s="199">
        <v>1</v>
      </c>
      <c r="E5" s="199"/>
      <c r="F5" s="199"/>
      <c r="G5" s="199">
        <f t="shared" ref="G5:G19" si="0">SUM(D5:F5)</f>
        <v>1</v>
      </c>
      <c r="I5" s="56"/>
      <c r="J5" s="56"/>
      <c r="K5" s="56"/>
    </row>
    <row r="6" spans="3:24" ht="15.75" hidden="1" x14ac:dyDescent="0.2">
      <c r="C6" s="198">
        <v>1987</v>
      </c>
      <c r="D6" s="199">
        <v>5</v>
      </c>
      <c r="E6" s="199">
        <v>1</v>
      </c>
      <c r="F6" s="199"/>
      <c r="G6" s="199">
        <f t="shared" si="0"/>
        <v>6</v>
      </c>
      <c r="I6" s="56"/>
      <c r="J6" s="56"/>
      <c r="K6" s="56"/>
    </row>
    <row r="7" spans="3:24" ht="15.75" hidden="1" x14ac:dyDescent="0.2">
      <c r="C7" s="198">
        <v>1991</v>
      </c>
      <c r="D7" s="199">
        <v>11</v>
      </c>
      <c r="E7" s="199">
        <v>3</v>
      </c>
      <c r="F7" s="199"/>
      <c r="G7" s="199">
        <f t="shared" si="0"/>
        <v>14</v>
      </c>
      <c r="I7" s="56"/>
      <c r="J7" s="56"/>
      <c r="K7" s="56"/>
      <c r="X7">
        <v>2021</v>
      </c>
    </row>
    <row r="8" spans="3:24" ht="15.75" hidden="1" x14ac:dyDescent="0.2">
      <c r="C8" s="198">
        <v>1995</v>
      </c>
      <c r="D8" s="199">
        <v>15</v>
      </c>
      <c r="E8" s="199">
        <v>15</v>
      </c>
      <c r="F8" s="199">
        <v>1</v>
      </c>
      <c r="G8" s="199">
        <f t="shared" si="0"/>
        <v>31</v>
      </c>
      <c r="I8" s="56"/>
      <c r="J8" s="56"/>
      <c r="K8" s="56"/>
    </row>
    <row r="9" spans="3:24" ht="15.75" hidden="1" x14ac:dyDescent="0.2">
      <c r="C9" s="198">
        <v>1996</v>
      </c>
      <c r="D9" s="199">
        <v>15</v>
      </c>
      <c r="E9" s="199">
        <v>15</v>
      </c>
      <c r="F9" s="199">
        <v>0</v>
      </c>
      <c r="G9" s="199">
        <f t="shared" si="0"/>
        <v>30</v>
      </c>
      <c r="I9" s="56"/>
      <c r="J9" s="56"/>
      <c r="K9" s="56"/>
      <c r="X9" s="249">
        <v>-24.16</v>
      </c>
    </row>
    <row r="10" spans="3:24" ht="15.75" hidden="1" x14ac:dyDescent="0.2">
      <c r="C10" s="198">
        <v>1997</v>
      </c>
      <c r="D10" s="199">
        <v>16</v>
      </c>
      <c r="E10" s="199">
        <v>27</v>
      </c>
      <c r="F10" s="199">
        <v>2</v>
      </c>
      <c r="G10" s="199">
        <f t="shared" si="0"/>
        <v>45</v>
      </c>
      <c r="H10" s="61" t="s">
        <v>114</v>
      </c>
      <c r="I10" s="56"/>
      <c r="J10" s="56"/>
      <c r="K10" s="56"/>
    </row>
    <row r="11" spans="3:24" ht="15.75" hidden="1" x14ac:dyDescent="0.2">
      <c r="C11" s="198">
        <v>1998</v>
      </c>
      <c r="D11" s="199">
        <v>15</v>
      </c>
      <c r="E11" s="199">
        <v>46</v>
      </c>
      <c r="F11" s="199">
        <v>0</v>
      </c>
      <c r="G11" s="199">
        <f t="shared" si="0"/>
        <v>61</v>
      </c>
      <c r="I11" s="56"/>
      <c r="J11" s="56"/>
      <c r="K11" s="56"/>
    </row>
    <row r="12" spans="3:24" ht="15.75" hidden="1" x14ac:dyDescent="0.2">
      <c r="C12" s="198">
        <v>1999</v>
      </c>
      <c r="D12" s="199">
        <v>13</v>
      </c>
      <c r="E12" s="199">
        <v>46</v>
      </c>
      <c r="F12" s="199">
        <v>4</v>
      </c>
      <c r="G12" s="199">
        <f t="shared" si="0"/>
        <v>63</v>
      </c>
      <c r="I12" s="56"/>
      <c r="J12" s="56"/>
      <c r="K12" s="56"/>
    </row>
    <row r="13" spans="3:24" ht="15.75" hidden="1" x14ac:dyDescent="0.2">
      <c r="C13" s="198">
        <v>2000</v>
      </c>
      <c r="D13" s="199">
        <v>12</v>
      </c>
      <c r="E13" s="199">
        <v>46</v>
      </c>
      <c r="F13" s="199">
        <v>0</v>
      </c>
      <c r="G13" s="199">
        <f t="shared" si="0"/>
        <v>58</v>
      </c>
      <c r="I13" s="56"/>
      <c r="J13" s="56"/>
      <c r="K13" s="56"/>
    </row>
    <row r="14" spans="3:24" ht="15.75" hidden="1" x14ac:dyDescent="0.2">
      <c r="C14" s="198">
        <v>2001</v>
      </c>
      <c r="D14" s="199">
        <v>14</v>
      </c>
      <c r="E14" s="199">
        <v>61</v>
      </c>
      <c r="F14" s="199">
        <v>7</v>
      </c>
      <c r="G14" s="199">
        <f t="shared" si="0"/>
        <v>82</v>
      </c>
      <c r="I14" s="56"/>
      <c r="J14" s="56"/>
      <c r="K14" s="56"/>
    </row>
    <row r="15" spans="3:24" ht="15.75" hidden="1" x14ac:dyDescent="0.2">
      <c r="C15" s="198">
        <v>2002</v>
      </c>
      <c r="D15" s="199">
        <v>15</v>
      </c>
      <c r="E15" s="199">
        <v>62</v>
      </c>
      <c r="F15" s="199">
        <v>8</v>
      </c>
      <c r="G15" s="199">
        <f t="shared" si="0"/>
        <v>85</v>
      </c>
      <c r="I15" s="56"/>
      <c r="J15" s="56"/>
      <c r="K15" s="56"/>
    </row>
    <row r="16" spans="3:24" ht="15.75" hidden="1" x14ac:dyDescent="0.2">
      <c r="C16" s="198">
        <v>2003</v>
      </c>
      <c r="D16" s="199">
        <v>15</v>
      </c>
      <c r="E16" s="199">
        <v>60</v>
      </c>
      <c r="F16" s="199">
        <v>11</v>
      </c>
      <c r="G16" s="199">
        <f t="shared" si="0"/>
        <v>86</v>
      </c>
      <c r="I16" s="56"/>
      <c r="J16" s="56"/>
      <c r="K16" s="56"/>
    </row>
    <row r="17" spans="3:11" ht="15.75" hidden="1" x14ac:dyDescent="0.2">
      <c r="C17" s="198">
        <v>2004</v>
      </c>
      <c r="D17" s="199">
        <v>23</v>
      </c>
      <c r="E17" s="199">
        <v>66</v>
      </c>
      <c r="F17" s="199">
        <v>22</v>
      </c>
      <c r="G17" s="199">
        <f t="shared" si="0"/>
        <v>111</v>
      </c>
      <c r="I17" s="56"/>
      <c r="J17" s="56"/>
      <c r="K17" s="56"/>
    </row>
    <row r="18" spans="3:11" ht="15.75" hidden="1" x14ac:dyDescent="0.2">
      <c r="C18" s="198">
        <v>2005</v>
      </c>
      <c r="D18" s="199">
        <v>26</v>
      </c>
      <c r="E18" s="199">
        <v>87</v>
      </c>
      <c r="F18" s="199">
        <v>26</v>
      </c>
      <c r="G18" s="199">
        <f t="shared" si="0"/>
        <v>139</v>
      </c>
      <c r="I18" s="56"/>
      <c r="J18" s="56"/>
      <c r="K18" s="56"/>
    </row>
    <row r="19" spans="3:11" ht="15.75" hidden="1" x14ac:dyDescent="0.25">
      <c r="C19" s="200">
        <v>2006</v>
      </c>
      <c r="D19" s="201">
        <v>36</v>
      </c>
      <c r="E19" s="201">
        <v>98</v>
      </c>
      <c r="F19" s="201">
        <v>29</v>
      </c>
      <c r="G19" s="199">
        <f t="shared" si="0"/>
        <v>163</v>
      </c>
      <c r="I19" s="56"/>
      <c r="J19" s="56"/>
      <c r="K19" s="56"/>
    </row>
    <row r="20" spans="3:11" ht="15.75" hidden="1" x14ac:dyDescent="0.25">
      <c r="C20" s="200">
        <v>2007</v>
      </c>
      <c r="D20" s="201">
        <v>34</v>
      </c>
      <c r="E20" s="201">
        <v>101</v>
      </c>
      <c r="F20" s="201">
        <v>31</v>
      </c>
      <c r="G20" s="199">
        <f t="shared" ref="G20:G32" si="1">SUM(D20:F20)</f>
        <v>166</v>
      </c>
      <c r="I20" s="56"/>
      <c r="J20" s="56"/>
      <c r="K20" s="56"/>
    </row>
    <row r="21" spans="3:11" ht="15.75" hidden="1" x14ac:dyDescent="0.2">
      <c r="C21" s="202">
        <v>2008</v>
      </c>
      <c r="D21" s="203">
        <v>30</v>
      </c>
      <c r="E21" s="203">
        <v>105</v>
      </c>
      <c r="F21" s="203">
        <v>32</v>
      </c>
      <c r="G21" s="203">
        <f t="shared" si="1"/>
        <v>167</v>
      </c>
      <c r="I21" s="17"/>
      <c r="J21" s="17"/>
      <c r="K21" s="17"/>
    </row>
    <row r="22" spans="3:11" ht="15.75" hidden="1" x14ac:dyDescent="0.2">
      <c r="C22" s="202">
        <v>2009</v>
      </c>
      <c r="D22" s="203">
        <v>32</v>
      </c>
      <c r="E22" s="203">
        <v>105</v>
      </c>
      <c r="F22" s="203">
        <v>29</v>
      </c>
      <c r="G22" s="203">
        <f t="shared" si="1"/>
        <v>166</v>
      </c>
      <c r="I22" s="17"/>
      <c r="J22" s="17"/>
      <c r="K22" s="17"/>
    </row>
    <row r="23" spans="3:11" ht="15.75" hidden="1" x14ac:dyDescent="0.2">
      <c r="C23" s="202">
        <v>2010</v>
      </c>
      <c r="D23" s="203">
        <v>32</v>
      </c>
      <c r="E23" s="203">
        <v>106</v>
      </c>
      <c r="F23" s="203">
        <v>29</v>
      </c>
      <c r="G23" s="203">
        <f t="shared" si="1"/>
        <v>167</v>
      </c>
      <c r="I23" s="17"/>
      <c r="J23" s="17"/>
      <c r="K23" s="17"/>
    </row>
    <row r="24" spans="3:11" ht="15.75" x14ac:dyDescent="0.2">
      <c r="C24" s="202">
        <v>2012</v>
      </c>
      <c r="D24" s="203">
        <v>29</v>
      </c>
      <c r="E24" s="203">
        <v>71</v>
      </c>
      <c r="F24" s="203">
        <v>21</v>
      </c>
      <c r="G24" s="203">
        <f t="shared" si="1"/>
        <v>121</v>
      </c>
    </row>
    <row r="25" spans="3:11" ht="15.75" x14ac:dyDescent="0.2">
      <c r="C25" s="202">
        <v>2013</v>
      </c>
      <c r="D25" s="203">
        <v>19</v>
      </c>
      <c r="E25" s="203">
        <v>36</v>
      </c>
      <c r="F25" s="203">
        <v>20</v>
      </c>
      <c r="G25" s="203">
        <f t="shared" si="1"/>
        <v>75</v>
      </c>
    </row>
    <row r="26" spans="3:11" ht="15.75" x14ac:dyDescent="0.2">
      <c r="C26" s="202">
        <v>2014</v>
      </c>
      <c r="D26" s="203">
        <v>17</v>
      </c>
      <c r="E26" s="203">
        <v>34</v>
      </c>
      <c r="F26" s="203">
        <v>20</v>
      </c>
      <c r="G26" s="203">
        <f t="shared" si="1"/>
        <v>71</v>
      </c>
    </row>
    <row r="27" spans="3:11" ht="15.75" x14ac:dyDescent="0.2">
      <c r="C27" s="202">
        <v>2015</v>
      </c>
      <c r="D27" s="203">
        <v>18</v>
      </c>
      <c r="E27" s="203">
        <v>32</v>
      </c>
      <c r="F27" s="203">
        <v>20</v>
      </c>
      <c r="G27" s="203">
        <f t="shared" si="1"/>
        <v>70</v>
      </c>
    </row>
    <row r="28" spans="3:11" ht="15.75" x14ac:dyDescent="0.2">
      <c r="C28" s="202">
        <v>2016</v>
      </c>
      <c r="D28" s="203">
        <v>18</v>
      </c>
      <c r="E28" s="203">
        <v>30</v>
      </c>
      <c r="F28" s="203">
        <v>21</v>
      </c>
      <c r="G28" s="203">
        <f t="shared" si="1"/>
        <v>69</v>
      </c>
    </row>
    <row r="29" spans="3:11" ht="15.75" x14ac:dyDescent="0.2">
      <c r="C29" s="202">
        <v>2017</v>
      </c>
      <c r="D29" s="203">
        <v>20</v>
      </c>
      <c r="E29" s="203">
        <v>27</v>
      </c>
      <c r="F29" s="203">
        <v>20</v>
      </c>
      <c r="G29" s="203">
        <f t="shared" si="1"/>
        <v>67</v>
      </c>
    </row>
    <row r="30" spans="3:11" ht="15.75" x14ac:dyDescent="0.2">
      <c r="C30" s="202">
        <v>2018</v>
      </c>
      <c r="D30" s="203">
        <v>20</v>
      </c>
      <c r="E30" s="203">
        <v>25</v>
      </c>
      <c r="F30" s="203">
        <v>21</v>
      </c>
      <c r="G30" s="203">
        <f t="shared" si="1"/>
        <v>66</v>
      </c>
    </row>
    <row r="31" spans="3:11" ht="15.75" x14ac:dyDescent="0.2">
      <c r="C31" s="202">
        <v>2019</v>
      </c>
      <c r="D31" s="203">
        <v>22</v>
      </c>
      <c r="E31" s="203">
        <v>23</v>
      </c>
      <c r="F31" s="203">
        <v>21</v>
      </c>
      <c r="G31" s="203">
        <f t="shared" si="1"/>
        <v>66</v>
      </c>
    </row>
    <row r="32" spans="3:11" ht="15.75" x14ac:dyDescent="0.2">
      <c r="C32" s="202">
        <v>2020</v>
      </c>
      <c r="D32" s="203">
        <v>22</v>
      </c>
      <c r="E32" s="203">
        <v>22</v>
      </c>
      <c r="F32" s="203">
        <v>21</v>
      </c>
      <c r="G32" s="203">
        <f t="shared" si="1"/>
        <v>65</v>
      </c>
    </row>
    <row r="33" spans="2:7" ht="15.75" x14ac:dyDescent="0.2">
      <c r="C33" s="202">
        <v>2021</v>
      </c>
      <c r="D33" s="203">
        <v>22</v>
      </c>
      <c r="E33" s="203">
        <v>21</v>
      </c>
      <c r="F33" s="203">
        <v>21</v>
      </c>
      <c r="G33" s="203">
        <f t="shared" ref="G33" si="2">SUM(D33:F33)</f>
        <v>64</v>
      </c>
    </row>
    <row r="34" spans="2:7" ht="15.75" x14ac:dyDescent="0.2">
      <c r="B34" s="243" t="s">
        <v>6</v>
      </c>
      <c r="C34" s="262" t="s">
        <v>124</v>
      </c>
      <c r="D34" s="262"/>
      <c r="E34" s="262"/>
      <c r="F34" s="262"/>
      <c r="G34" s="262"/>
    </row>
    <row r="72" spans="9:9" x14ac:dyDescent="0.2">
      <c r="I72" s="235"/>
    </row>
  </sheetData>
  <mergeCells count="2">
    <mergeCell ref="C2:G2"/>
    <mergeCell ref="C34:G34"/>
  </mergeCells>
  <pageMargins left="0.70866141732283472" right="0.31496062992125984" top="0.55118110236220474" bottom="0.55118110236220474" header="0.31496062992125984" footer="0.51181102362204722"/>
  <pageSetup paperSize="9" scale="70" orientation="landscape" r:id="rId1"/>
  <headerFooter scaleWithDoc="0">
    <oddFooter>&amp;C&amp;8Font: Intervenció General&amp;R&amp;P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0000"/>
  </sheetPr>
  <dimension ref="A1:X46"/>
  <sheetViews>
    <sheetView zoomScaleNormal="100" zoomScalePageLayoutView="150" workbookViewId="0">
      <selection activeCell="Z22" sqref="Z22"/>
    </sheetView>
  </sheetViews>
  <sheetFormatPr baseColWidth="10" defaultRowHeight="12.75" x14ac:dyDescent="0.2"/>
  <cols>
    <col min="1" max="1" width="7.42578125" customWidth="1"/>
    <col min="2" max="2" width="15.7109375" customWidth="1"/>
    <col min="3" max="3" width="16.140625" hidden="1" customWidth="1"/>
    <col min="4" max="6" width="0" hidden="1" customWidth="1"/>
    <col min="7" max="14" width="12.7109375" hidden="1" customWidth="1"/>
    <col min="15" max="24" width="12.7109375" customWidth="1"/>
  </cols>
  <sheetData>
    <row r="1" spans="1:24" ht="18" customHeight="1" x14ac:dyDescent="0.2"/>
    <row r="2" spans="1:24" ht="18" customHeight="1" x14ac:dyDescent="0.2"/>
    <row r="3" spans="1:24" ht="18" customHeight="1" x14ac:dyDescent="0.2"/>
    <row r="4" spans="1:24" s="57" customFormat="1" ht="20.25" x14ac:dyDescent="0.3">
      <c r="A4" s="263" t="s">
        <v>123</v>
      </c>
      <c r="B4" s="263"/>
      <c r="C4" s="263"/>
      <c r="D4" s="263"/>
      <c r="E4" s="263"/>
      <c r="F4" s="263"/>
      <c r="G4" s="263"/>
      <c r="H4" s="263"/>
      <c r="I4" s="263"/>
      <c r="J4" s="263"/>
      <c r="K4" s="263"/>
      <c r="L4" s="263"/>
      <c r="M4" s="263"/>
      <c r="N4" s="263"/>
      <c r="O4" s="263"/>
      <c r="P4" s="263"/>
      <c r="Q4" s="263"/>
      <c r="R4" s="263"/>
      <c r="S4" s="263"/>
      <c r="T4" s="263"/>
      <c r="U4" s="263"/>
      <c r="V4" s="263"/>
      <c r="W4" s="263"/>
      <c r="X4" s="263"/>
    </row>
    <row r="5" spans="1:24" ht="18" customHeight="1" x14ac:dyDescent="0.2"/>
    <row r="6" spans="1:24" ht="18" customHeight="1" x14ac:dyDescent="0.2">
      <c r="B6" s="244" t="s">
        <v>120</v>
      </c>
    </row>
    <row r="7" spans="1:24" s="28" customFormat="1" ht="18.75" x14ac:dyDescent="0.3">
      <c r="B7" s="23" t="s">
        <v>115</v>
      </c>
      <c r="C7" s="30">
        <v>1999</v>
      </c>
      <c r="D7" s="30">
        <v>2000</v>
      </c>
      <c r="E7" s="30">
        <v>2001</v>
      </c>
      <c r="F7" s="30">
        <v>2002</v>
      </c>
      <c r="G7" s="30">
        <v>2003</v>
      </c>
      <c r="H7" s="30">
        <v>2004</v>
      </c>
      <c r="I7" s="30">
        <v>2005</v>
      </c>
      <c r="J7" s="48">
        <v>2006</v>
      </c>
      <c r="K7" s="27">
        <v>2007</v>
      </c>
      <c r="L7" s="27">
        <v>2008</v>
      </c>
      <c r="M7" s="27">
        <v>2009</v>
      </c>
      <c r="N7" s="27">
        <v>2010</v>
      </c>
      <c r="O7" s="27">
        <v>2012</v>
      </c>
      <c r="P7" s="27">
        <v>2013</v>
      </c>
      <c r="Q7" s="27">
        <v>2014</v>
      </c>
      <c r="R7" s="27">
        <v>2015</v>
      </c>
      <c r="S7" s="27">
        <v>2016</v>
      </c>
      <c r="T7" s="27">
        <v>2017</v>
      </c>
      <c r="U7" s="27">
        <v>2018</v>
      </c>
      <c r="V7" s="27">
        <v>2019</v>
      </c>
      <c r="W7" s="27">
        <v>2020</v>
      </c>
      <c r="X7" s="27">
        <v>2021</v>
      </c>
    </row>
    <row r="8" spans="1:24" s="28" customFormat="1" ht="9" customHeight="1" thickBot="1" x14ac:dyDescent="0.35">
      <c r="B8" s="26"/>
      <c r="C8" s="26"/>
      <c r="D8" s="26"/>
      <c r="E8" s="26"/>
      <c r="F8" s="26"/>
      <c r="G8" s="26"/>
      <c r="H8" s="26"/>
      <c r="I8" s="26"/>
      <c r="J8" s="48"/>
      <c r="K8" s="48"/>
      <c r="L8" s="48"/>
    </row>
    <row r="9" spans="1:24" s="28" customFormat="1" ht="30" customHeight="1" thickTop="1" thickBot="1" x14ac:dyDescent="0.35">
      <c r="B9" s="55" t="s">
        <v>4</v>
      </c>
      <c r="C9" s="53">
        <v>17.670000000000002</v>
      </c>
      <c r="D9" s="53">
        <v>9.57</v>
      </c>
      <c r="E9" s="53">
        <v>21.82</v>
      </c>
      <c r="F9" s="53">
        <v>9.11</v>
      </c>
      <c r="G9" s="53">
        <v>-2.19</v>
      </c>
      <c r="H9" s="53">
        <v>-23.62</v>
      </c>
      <c r="I9" s="68">
        <v>-67.69</v>
      </c>
      <c r="J9" s="68">
        <v>-179.97</v>
      </c>
      <c r="K9" s="68">
        <v>-326.64999999999998</v>
      </c>
      <c r="L9" s="68">
        <v>-564.12</v>
      </c>
      <c r="M9" s="68">
        <v>-551.94000000000005</v>
      </c>
      <c r="N9" s="68">
        <v>-227.04</v>
      </c>
      <c r="O9" s="68">
        <v>9.89</v>
      </c>
      <c r="P9" s="68">
        <v>33.89</v>
      </c>
      <c r="Q9" s="68">
        <v>159.03</v>
      </c>
      <c r="R9" s="68">
        <v>144.16</v>
      </c>
      <c r="S9" s="68">
        <v>173.24</v>
      </c>
      <c r="T9" s="68">
        <v>219.98</v>
      </c>
      <c r="U9" s="246">
        <v>270.89999999999998</v>
      </c>
      <c r="V9" s="246">
        <v>282.19</v>
      </c>
      <c r="W9" s="246">
        <v>257.67</v>
      </c>
      <c r="X9" s="247">
        <v>307.64999999999998</v>
      </c>
    </row>
    <row r="10" spans="1:24" s="28" customFormat="1" ht="19.5" thickTop="1" x14ac:dyDescent="0.3">
      <c r="I10" s="61"/>
    </row>
    <row r="24" spans="2:7" x14ac:dyDescent="0.2">
      <c r="C24">
        <v>2013</v>
      </c>
      <c r="E24">
        <v>3775.53</v>
      </c>
      <c r="F24">
        <v>3988.22</v>
      </c>
      <c r="G24">
        <f>F24/E24*100</f>
        <v>105.63338127362249</v>
      </c>
    </row>
    <row r="32" spans="2:7" x14ac:dyDescent="0.2">
      <c r="B32" s="235" t="s">
        <v>125</v>
      </c>
    </row>
    <row r="33" spans="2:17" x14ac:dyDescent="0.2">
      <c r="B33" s="235"/>
    </row>
    <row r="34" spans="2:17" x14ac:dyDescent="0.2">
      <c r="Q34" s="235"/>
    </row>
    <row r="46" spans="2:17" ht="11.25" customHeight="1" x14ac:dyDescent="0.2"/>
  </sheetData>
  <mergeCells count="1">
    <mergeCell ref="A4:X4"/>
  </mergeCells>
  <pageMargins left="0.70866141732283472" right="0.51181102362204722" top="0.55118110236220474" bottom="0.55118110236220474" header="0.31496062992125984" footer="0.51181102362204722"/>
  <pageSetup paperSize="9" scale="80" orientation="landscape" r:id="rId1"/>
  <headerFooter scaleWithDoc="0">
    <oddFooter>&amp;C&amp;8Font: Intervenció General&amp;R&amp;P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0000"/>
  </sheetPr>
  <dimension ref="A1:X35"/>
  <sheetViews>
    <sheetView zoomScaleNormal="100" zoomScalePageLayoutView="150" workbookViewId="0">
      <selection activeCell="X9" sqref="X9"/>
    </sheetView>
  </sheetViews>
  <sheetFormatPr baseColWidth="10" defaultRowHeight="12.75" x14ac:dyDescent="0.2"/>
  <cols>
    <col min="1" max="1" width="11.5703125" customWidth="1"/>
    <col min="2" max="2" width="17.7109375" customWidth="1"/>
    <col min="3" max="3" width="11.42578125" hidden="1" customWidth="1"/>
    <col min="4" max="4" width="11.28515625" hidden="1" customWidth="1"/>
    <col min="5" max="5" width="11.42578125" hidden="1" customWidth="1"/>
    <col min="6" max="14" width="12.7109375" hidden="1" customWidth="1"/>
    <col min="15" max="24" width="12.7109375" customWidth="1"/>
  </cols>
  <sheetData>
    <row r="1" spans="1:24" ht="18" customHeight="1" x14ac:dyDescent="0.2"/>
    <row r="2" spans="1:24" ht="18" customHeight="1" x14ac:dyDescent="0.2"/>
    <row r="3" spans="1:24" ht="18" customHeight="1" x14ac:dyDescent="0.2"/>
    <row r="4" spans="1:24" s="245" customFormat="1" ht="20.25" x14ac:dyDescent="0.3">
      <c r="A4" s="250" t="s">
        <v>126</v>
      </c>
      <c r="B4" s="250"/>
      <c r="C4" s="250"/>
      <c r="D4" s="250"/>
      <c r="E4" s="250"/>
      <c r="F4" s="250"/>
      <c r="G4" s="250"/>
      <c r="H4" s="250"/>
      <c r="I4" s="250"/>
      <c r="J4" s="250"/>
      <c r="K4" s="250"/>
      <c r="L4" s="250"/>
      <c r="M4" s="250"/>
      <c r="N4" s="250"/>
      <c r="O4" s="250"/>
      <c r="P4" s="250"/>
      <c r="Q4" s="250"/>
      <c r="R4" s="250"/>
      <c r="S4" s="250"/>
      <c r="T4" s="250"/>
      <c r="U4" s="250"/>
      <c r="V4" s="250"/>
      <c r="W4" s="250"/>
      <c r="X4" s="250"/>
    </row>
    <row r="5" spans="1:24" s="51" customFormat="1" ht="18" customHeight="1" x14ac:dyDescent="0.3">
      <c r="A5" s="44"/>
      <c r="B5" s="44"/>
      <c r="C5" s="44"/>
      <c r="D5" s="44"/>
      <c r="E5" s="44"/>
      <c r="F5" s="44"/>
      <c r="G5" s="44"/>
      <c r="H5" s="44"/>
      <c r="I5" s="44"/>
      <c r="J5" s="44"/>
      <c r="K5" s="44"/>
      <c r="L5" s="44"/>
      <c r="M5" s="44"/>
    </row>
    <row r="6" spans="1:24" ht="18" customHeight="1" x14ac:dyDescent="0.2">
      <c r="B6" s="244" t="s">
        <v>120</v>
      </c>
    </row>
    <row r="7" spans="1:24" s="28" customFormat="1" ht="18.75" x14ac:dyDescent="0.3">
      <c r="B7" s="23" t="s">
        <v>115</v>
      </c>
      <c r="C7" s="30">
        <v>1999</v>
      </c>
      <c r="D7" s="30">
        <v>2000</v>
      </c>
      <c r="E7" s="30">
        <v>2001</v>
      </c>
      <c r="F7" s="30">
        <v>2002</v>
      </c>
      <c r="G7" s="30">
        <v>2003</v>
      </c>
      <c r="H7" s="30">
        <v>2004</v>
      </c>
      <c r="I7" s="30">
        <v>2005</v>
      </c>
      <c r="J7" s="48">
        <v>2006</v>
      </c>
      <c r="K7" s="27">
        <v>2007</v>
      </c>
      <c r="L7" s="27">
        <v>2008</v>
      </c>
      <c r="M7" s="27">
        <v>2009</v>
      </c>
      <c r="N7" s="27">
        <v>2010</v>
      </c>
      <c r="O7" s="27">
        <v>2012</v>
      </c>
      <c r="P7" s="27">
        <v>2013</v>
      </c>
      <c r="Q7" s="27">
        <v>2014</v>
      </c>
      <c r="R7" s="27">
        <v>2015</v>
      </c>
      <c r="S7" s="27">
        <v>2016</v>
      </c>
      <c r="T7" s="27">
        <v>2017</v>
      </c>
      <c r="U7" s="27">
        <v>2018</v>
      </c>
      <c r="V7" s="27">
        <v>2019</v>
      </c>
      <c r="W7" s="27">
        <v>2020</v>
      </c>
      <c r="X7" s="27">
        <v>2021</v>
      </c>
    </row>
    <row r="8" spans="1:24" s="28" customFormat="1" ht="9" customHeight="1" thickBot="1" x14ac:dyDescent="0.35">
      <c r="B8" s="26"/>
      <c r="C8" s="26"/>
      <c r="D8" s="26"/>
      <c r="E8" s="26"/>
      <c r="F8" s="26"/>
      <c r="G8" s="26"/>
      <c r="H8" s="26"/>
      <c r="I8" s="37"/>
      <c r="J8" s="48"/>
      <c r="K8" s="48"/>
      <c r="L8" s="48"/>
    </row>
    <row r="9" spans="1:24" s="28" customFormat="1" ht="29.25" customHeight="1" thickTop="1" thickBot="1" x14ac:dyDescent="0.35">
      <c r="B9" s="55" t="s">
        <v>4</v>
      </c>
      <c r="C9" s="55">
        <v>-8.3000000000000007</v>
      </c>
      <c r="D9" s="55">
        <v>-11.52</v>
      </c>
      <c r="E9" s="55">
        <v>7.03</v>
      </c>
      <c r="F9" s="53">
        <f>'[2]Datos resul Entid CAIB'!B40</f>
        <v>7.2423606157831761</v>
      </c>
      <c r="G9" s="53">
        <f>'[2]Datos resul Entid CAIB'!C40</f>
        <v>-15.539172840000001</v>
      </c>
      <c r="H9" s="53">
        <f>'[2]Datos resul Entid CAIB'!D40</f>
        <v>-11.567337720000001</v>
      </c>
      <c r="I9" s="53">
        <f>'[2]Datos resul Entid CAIB'!E40</f>
        <v>-23.445738310000003</v>
      </c>
      <c r="J9" s="68">
        <v>-179.25</v>
      </c>
      <c r="K9" s="68">
        <v>-202.51</v>
      </c>
      <c r="L9" s="68">
        <v>-245.56</v>
      </c>
      <c r="M9" s="68">
        <v>-205.8</v>
      </c>
      <c r="N9" s="68">
        <v>-110.59</v>
      </c>
      <c r="O9" s="68">
        <v>-37.29</v>
      </c>
      <c r="P9" s="68">
        <v>-19.59</v>
      </c>
      <c r="Q9" s="68">
        <v>-5.08</v>
      </c>
      <c r="R9" s="68">
        <v>-24</v>
      </c>
      <c r="S9" s="68">
        <v>7.8</v>
      </c>
      <c r="T9" s="68">
        <v>26.66</v>
      </c>
      <c r="U9" s="68">
        <v>19.02</v>
      </c>
      <c r="V9" s="68">
        <v>-13.37</v>
      </c>
      <c r="W9" s="68">
        <v>-87.13</v>
      </c>
      <c r="X9" s="248">
        <v>-24.16</v>
      </c>
    </row>
    <row r="10" spans="1:24" s="28" customFormat="1" ht="19.5" thickTop="1" x14ac:dyDescent="0.3">
      <c r="H10" s="61"/>
    </row>
    <row r="13" spans="1:24" x14ac:dyDescent="0.2">
      <c r="N13" s="217"/>
    </row>
    <row r="24" spans="4:6" x14ac:dyDescent="0.2">
      <c r="D24">
        <v>3775.53</v>
      </c>
      <c r="E24">
        <v>3988.22</v>
      </c>
      <c r="F24">
        <f>E24/D24*100</f>
        <v>105.63338127362249</v>
      </c>
    </row>
    <row r="33" spans="1:16" x14ac:dyDescent="0.2">
      <c r="A33" s="235"/>
      <c r="B33" s="235" t="s">
        <v>125</v>
      </c>
    </row>
    <row r="35" spans="1:16" x14ac:dyDescent="0.2">
      <c r="P35" s="235"/>
    </row>
  </sheetData>
  <mergeCells count="1">
    <mergeCell ref="A4:X4"/>
  </mergeCells>
  <pageMargins left="0.70866141732283472" right="0.70866141732283472" top="0.74803149606299213" bottom="0.74803149606299213" header="0.31496062992125984" footer="0.31496062992125984"/>
  <pageSetup paperSize="9" scale="80" orientation="landscape" r:id="rId1"/>
  <headerFooter scaleWithDoc="0">
    <oddFooter>&amp;C&amp;8Font: Intervenció General&amp;R&amp;P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7"/>
  <sheetViews>
    <sheetView showGridLines="0" topLeftCell="A88" zoomScale="75" zoomScaleNormal="75" zoomScalePageLayoutView="75" workbookViewId="0">
      <selection activeCell="I8" sqref="I8"/>
    </sheetView>
  </sheetViews>
  <sheetFormatPr baseColWidth="10" defaultRowHeight="15" x14ac:dyDescent="0.2"/>
  <cols>
    <col min="1" max="1" width="9" style="3" customWidth="1"/>
    <col min="2" max="2" width="42.28515625" style="3" customWidth="1"/>
    <col min="3" max="3" width="25.42578125" style="3" customWidth="1"/>
    <col min="4" max="4" width="22.42578125" style="3" customWidth="1"/>
    <col min="5" max="5" width="25.42578125" style="3" customWidth="1"/>
    <col min="6" max="6" width="13.42578125" style="3" customWidth="1"/>
    <col min="7" max="7" width="47.85546875" style="3" customWidth="1"/>
    <col min="8" max="8" width="4.7109375" style="3" customWidth="1"/>
    <col min="9" max="9" width="25.42578125" style="3" customWidth="1"/>
    <col min="10" max="10" width="13.42578125" style="3" customWidth="1"/>
    <col min="11" max="16" width="10.85546875" style="235"/>
  </cols>
  <sheetData>
    <row r="1" spans="1:12" ht="18" customHeight="1" x14ac:dyDescent="0.25">
      <c r="A1" s="264" t="s">
        <v>15</v>
      </c>
      <c r="B1" s="264"/>
      <c r="C1" s="264"/>
      <c r="D1" s="264"/>
      <c r="E1" s="264"/>
      <c r="F1" s="1"/>
      <c r="G1" s="1"/>
      <c r="H1" s="1"/>
      <c r="I1" s="1"/>
      <c r="J1" s="2"/>
    </row>
    <row r="2" spans="1:12" ht="27" customHeight="1" x14ac:dyDescent="0.25">
      <c r="A2" s="4"/>
      <c r="B2" s="4"/>
      <c r="C2" s="5"/>
      <c r="D2" s="34" t="s">
        <v>0</v>
      </c>
      <c r="E2" s="5"/>
      <c r="F2" s="5"/>
      <c r="G2" s="5"/>
      <c r="H2" s="5"/>
      <c r="I2" s="5"/>
      <c r="J2"/>
    </row>
    <row r="3" spans="1:12" ht="18" customHeight="1" x14ac:dyDescent="0.25">
      <c r="A3" s="6"/>
      <c r="B3" s="6"/>
      <c r="C3" s="33" t="s">
        <v>1</v>
      </c>
      <c r="D3" s="33" t="s">
        <v>2</v>
      </c>
      <c r="E3" s="33" t="s">
        <v>3</v>
      </c>
      <c r="F3" s="33"/>
      <c r="G3" s="7"/>
      <c r="H3" s="7"/>
      <c r="I3" s="7"/>
      <c r="J3"/>
      <c r="K3" s="265"/>
      <c r="L3" s="265"/>
    </row>
    <row r="4" spans="1:12" ht="9" customHeight="1" thickBot="1" x14ac:dyDescent="0.35">
      <c r="A4" s="19"/>
      <c r="B4" s="19"/>
      <c r="C4" s="21"/>
      <c r="D4" s="21"/>
      <c r="E4" s="22"/>
      <c r="F4" s="36"/>
      <c r="G4" s="9"/>
      <c r="H4" s="9"/>
      <c r="I4" s="9"/>
      <c r="J4"/>
    </row>
    <row r="5" spans="1:12" ht="9" customHeight="1" thickTop="1" x14ac:dyDescent="0.3">
      <c r="A5" s="8"/>
      <c r="B5" s="8"/>
      <c r="C5" s="23"/>
      <c r="D5" s="23"/>
      <c r="E5" s="20"/>
      <c r="F5" s="20"/>
      <c r="G5" s="7"/>
      <c r="H5" s="7"/>
      <c r="I5" s="7"/>
      <c r="J5"/>
    </row>
    <row r="6" spans="1:12" ht="18" customHeight="1" x14ac:dyDescent="0.3">
      <c r="A6" s="39">
        <v>1997</v>
      </c>
      <c r="B6" s="60" t="s">
        <v>104</v>
      </c>
      <c r="C6" s="40">
        <f>SUM(C7:C8)</f>
        <v>16.347529239238877</v>
      </c>
      <c r="D6" s="40">
        <f>SUM(D7:D8)</f>
        <v>17.558620244491728</v>
      </c>
      <c r="E6" s="40">
        <f t="shared" ref="E6:E93" si="0">D6/C6*100</f>
        <v>107.40840397058827</v>
      </c>
      <c r="F6" s="24"/>
      <c r="G6" s="266"/>
      <c r="I6" s="10"/>
      <c r="J6"/>
    </row>
    <row r="7" spans="1:12" ht="18" customHeight="1" x14ac:dyDescent="0.3">
      <c r="A7" s="39"/>
      <c r="B7" s="15" t="s">
        <v>105</v>
      </c>
      <c r="C7" s="45"/>
      <c r="D7" s="45"/>
      <c r="E7" s="40"/>
      <c r="F7" s="24"/>
      <c r="G7" s="266"/>
      <c r="I7" s="10"/>
      <c r="J7"/>
    </row>
    <row r="8" spans="1:12" ht="18" customHeight="1" x14ac:dyDescent="0.3">
      <c r="A8" s="39"/>
      <c r="B8" s="13" t="s">
        <v>106</v>
      </c>
      <c r="C8" s="45">
        <f>(2720000000/166.386)/1000000</f>
        <v>16.347529239238877</v>
      </c>
      <c r="D8" s="45">
        <f>(2921508588/166.386)/1000000</f>
        <v>17.558620244491728</v>
      </c>
      <c r="E8" s="45">
        <f t="shared" si="0"/>
        <v>107.40840397058827</v>
      </c>
      <c r="F8" s="24"/>
      <c r="G8" s="266"/>
      <c r="I8" s="10"/>
      <c r="J8"/>
    </row>
    <row r="9" spans="1:12" ht="18" customHeight="1" x14ac:dyDescent="0.3">
      <c r="A9" s="39"/>
      <c r="B9" s="47" t="s">
        <v>107</v>
      </c>
      <c r="C9" s="40">
        <f>SUM(C10:C13)</f>
        <v>128.92912865265109</v>
      </c>
      <c r="D9" s="40">
        <f>SUM(D10:D13)</f>
        <v>156.06763916435278</v>
      </c>
      <c r="E9" s="40">
        <f t="shared" si="0"/>
        <v>121.04916925702318</v>
      </c>
      <c r="F9" s="24"/>
      <c r="G9" s="266"/>
      <c r="I9" s="10"/>
      <c r="J9"/>
    </row>
    <row r="10" spans="1:12" ht="18" customHeight="1" x14ac:dyDescent="0.3">
      <c r="A10" s="39"/>
      <c r="B10" s="13" t="s">
        <v>108</v>
      </c>
      <c r="C10" s="45">
        <f>(4000000000/166.386)/1000000</f>
        <v>24.040484175351292</v>
      </c>
      <c r="D10" s="45">
        <f>(5028730300/166.386)/1000000</f>
        <v>30.223277799814888</v>
      </c>
      <c r="E10" s="45">
        <f t="shared" si="0"/>
        <v>125.71825749999999</v>
      </c>
      <c r="F10" s="24"/>
      <c r="G10" s="266"/>
      <c r="I10" s="10"/>
      <c r="J10"/>
    </row>
    <row r="11" spans="1:12" ht="18" customHeight="1" x14ac:dyDescent="0.3">
      <c r="A11" s="39"/>
      <c r="B11" s="13" t="s">
        <v>109</v>
      </c>
      <c r="C11" s="45">
        <f>(12550001000/166.386)/1000000</f>
        <v>75.427025110285726</v>
      </c>
      <c r="D11" s="45">
        <f>((14529525943+9582756)/166.386)/1000000</f>
        <v>87.381803150505448</v>
      </c>
      <c r="E11" s="45">
        <f t="shared" si="0"/>
        <v>115.84946247414641</v>
      </c>
      <c r="F11" s="24"/>
      <c r="G11" s="266"/>
      <c r="I11" s="10"/>
      <c r="J11"/>
    </row>
    <row r="12" spans="1:12" ht="18" customHeight="1" x14ac:dyDescent="0.3">
      <c r="A12" s="39"/>
      <c r="B12" s="13" t="s">
        <v>110</v>
      </c>
      <c r="C12" s="45">
        <f>(4900001000/166.386)/1000000</f>
        <v>29.449599124926376</v>
      </c>
      <c r="D12" s="45">
        <f>((5764066381+634196770)/166.386)/1000000</f>
        <v>38.454336007837199</v>
      </c>
      <c r="E12" s="45">
        <f t="shared" si="0"/>
        <v>130.57677235167912</v>
      </c>
      <c r="F12" s="24"/>
      <c r="G12" s="266"/>
      <c r="I12" s="10"/>
      <c r="J12"/>
    </row>
    <row r="13" spans="1:12" ht="18" customHeight="1" x14ac:dyDescent="0.3">
      <c r="A13" s="39"/>
      <c r="B13" s="13" t="s">
        <v>111</v>
      </c>
      <c r="C13" s="45">
        <f>(2000000/166.386)/1000000</f>
        <v>1.2020242087675647E-2</v>
      </c>
      <c r="D13" s="45">
        <f>(1368060/166.386)/1000000</f>
        <v>8.2222061952327737E-3</v>
      </c>
      <c r="E13" s="45">
        <f t="shared" si="0"/>
        <v>68.40300000000002</v>
      </c>
      <c r="F13" s="24"/>
      <c r="G13" s="266"/>
      <c r="I13" s="10"/>
      <c r="J13"/>
    </row>
    <row r="14" spans="1:12" ht="18" customHeight="1" x14ac:dyDescent="0.3">
      <c r="A14" s="39">
        <v>1998</v>
      </c>
      <c r="B14" s="60" t="s">
        <v>104</v>
      </c>
      <c r="C14" s="40">
        <f>SUM(C15:C16)</f>
        <v>155.60203382496127</v>
      </c>
      <c r="D14" s="40">
        <f>SUM(D15:D16)</f>
        <v>159.95932408976716</v>
      </c>
      <c r="E14" s="40">
        <f t="shared" si="0"/>
        <v>102.80027847817688</v>
      </c>
      <c r="F14" s="24"/>
      <c r="G14" s="266"/>
      <c r="H14" s="35"/>
      <c r="I14" s="10"/>
      <c r="J14"/>
    </row>
    <row r="15" spans="1:12" ht="18" customHeight="1" x14ac:dyDescent="0.3">
      <c r="A15" s="39"/>
      <c r="B15" s="15" t="s">
        <v>105</v>
      </c>
      <c r="C15" s="45">
        <f>(23040000000/166.386)/1000000</f>
        <v>138.47318885002346</v>
      </c>
      <c r="D15" s="45">
        <f>(23039800000/166.386)/1000000</f>
        <v>138.47198682581467</v>
      </c>
      <c r="E15" s="45">
        <f t="shared" si="0"/>
        <v>99.999131944444429</v>
      </c>
      <c r="F15" s="24"/>
      <c r="G15" s="266"/>
      <c r="H15" s="35"/>
      <c r="I15" s="10"/>
      <c r="J15"/>
    </row>
    <row r="16" spans="1:12" ht="18" customHeight="1" x14ac:dyDescent="0.3">
      <c r="A16" s="39"/>
      <c r="B16" s="13" t="s">
        <v>106</v>
      </c>
      <c r="C16" s="32">
        <f>(2850000000/166.386)/1000000</f>
        <v>17.128844974937795</v>
      </c>
      <c r="D16" s="45">
        <f>(3575192098/166.386)/1000000</f>
        <v>21.487337263952497</v>
      </c>
      <c r="E16" s="45">
        <f t="shared" si="0"/>
        <v>125.44533677192985</v>
      </c>
      <c r="F16" s="24"/>
      <c r="G16" s="266"/>
      <c r="H16" s="35"/>
      <c r="I16" s="10"/>
      <c r="J16"/>
    </row>
    <row r="17" spans="1:10" ht="18" customHeight="1" x14ac:dyDescent="0.3">
      <c r="A17" s="39"/>
      <c r="B17" s="47" t="s">
        <v>107</v>
      </c>
      <c r="C17" s="40">
        <f>SUM(C18:C21)</f>
        <v>156.33747430673256</v>
      </c>
      <c r="D17" s="40">
        <f>SUM(D18:D21)</f>
        <v>191.54296849494548</v>
      </c>
      <c r="E17" s="40">
        <f t="shared" si="0"/>
        <v>122.51890939413548</v>
      </c>
      <c r="F17" s="24"/>
      <c r="G17" s="266"/>
      <c r="H17" s="35"/>
      <c r="I17" s="10"/>
      <c r="J17"/>
    </row>
    <row r="18" spans="1:10" ht="18" customHeight="1" x14ac:dyDescent="0.3">
      <c r="A18" s="39"/>
      <c r="B18" s="13" t="s">
        <v>108</v>
      </c>
      <c r="C18" s="45">
        <f>(5340305000/166.386)/1000000</f>
        <v>32.095879461012345</v>
      </c>
      <c r="D18" s="45">
        <f>(5532018861/166.386)/1000000</f>
        <v>33.248102971403846</v>
      </c>
      <c r="E18" s="45">
        <f t="shared" si="0"/>
        <v>103.58994216622459</v>
      </c>
      <c r="F18" s="24"/>
      <c r="G18" s="266"/>
      <c r="H18" s="35"/>
      <c r="I18" s="10"/>
      <c r="J18"/>
    </row>
    <row r="19" spans="1:10" ht="18" customHeight="1" x14ac:dyDescent="0.3">
      <c r="A19" s="39"/>
      <c r="B19" s="13" t="s">
        <v>109</v>
      </c>
      <c r="C19" s="45">
        <f>(14370001000/166.386)/1000000</f>
        <v>86.365445410070564</v>
      </c>
      <c r="D19" s="45">
        <f>((18761396645+6156932)/166.386)/1000000</f>
        <v>112.79526869448151</v>
      </c>
      <c r="E19" s="45">
        <f t="shared" si="0"/>
        <v>130.60231225453637</v>
      </c>
      <c r="F19" s="24"/>
      <c r="G19" s="266"/>
      <c r="H19" s="35"/>
      <c r="I19" s="10"/>
      <c r="J19"/>
    </row>
    <row r="20" spans="1:10" ht="18" customHeight="1" x14ac:dyDescent="0.3">
      <c r="A20" s="39"/>
      <c r="B20" s="13" t="s">
        <v>110</v>
      </c>
      <c r="C20" s="45">
        <f>(6300001000/166.386)/1000000</f>
        <v>37.863768586299329</v>
      </c>
      <c r="D20" s="45">
        <f>((7135588433+429113238)/166.386)/1000000</f>
        <v>45.464772703232242</v>
      </c>
      <c r="E20" s="45">
        <f t="shared" si="0"/>
        <v>120.07461063895069</v>
      </c>
      <c r="F20" s="24"/>
      <c r="G20" s="266"/>
      <c r="H20" s="35"/>
      <c r="I20" s="10"/>
      <c r="J20"/>
    </row>
    <row r="21" spans="1:10" ht="18" customHeight="1" x14ac:dyDescent="0.3">
      <c r="A21" s="39"/>
      <c r="B21" s="13" t="s">
        <v>111</v>
      </c>
      <c r="C21" s="45">
        <f>(2060000/166.386)/1000000</f>
        <v>1.2380849350305916E-2</v>
      </c>
      <c r="D21" s="45">
        <f>(5794247/166.386)/1000000</f>
        <v>3.4824125827894174E-2</v>
      </c>
      <c r="E21" s="45">
        <f t="shared" si="0"/>
        <v>281.27412621359224</v>
      </c>
      <c r="F21" s="24"/>
      <c r="G21" s="266"/>
      <c r="H21" s="35"/>
      <c r="I21" s="10"/>
      <c r="J21"/>
    </row>
    <row r="22" spans="1:10" ht="18" customHeight="1" x14ac:dyDescent="0.3">
      <c r="A22" s="39">
        <v>1999</v>
      </c>
      <c r="B22" s="60" t="s">
        <v>104</v>
      </c>
      <c r="C22" s="40">
        <f>SUM(C23:C24)</f>
        <v>258.71167045304293</v>
      </c>
      <c r="D22" s="40">
        <f>SUM(D23:D24)</f>
        <v>270.31642054018965</v>
      </c>
      <c r="E22" s="40">
        <f t="shared" si="0"/>
        <v>104.48559203642614</v>
      </c>
      <c r="F22" s="24"/>
      <c r="G22" s="266"/>
      <c r="H22" s="35"/>
      <c r="I22" s="10"/>
      <c r="J22"/>
    </row>
    <row r="23" spans="1:10" ht="18" customHeight="1" x14ac:dyDescent="0.3">
      <c r="A23" s="39"/>
      <c r="B23" s="15" t="s">
        <v>105</v>
      </c>
      <c r="C23" s="45">
        <f>(39546000000/166.386)/1000000</f>
        <v>237.67624679961057</v>
      </c>
      <c r="D23" s="45">
        <f>(40730218200/166.386)/1000000</f>
        <v>244.79354152392628</v>
      </c>
      <c r="E23" s="45">
        <f t="shared" si="0"/>
        <v>102.99453345471095</v>
      </c>
      <c r="F23" s="24"/>
      <c r="G23" s="266"/>
      <c r="H23" s="35"/>
      <c r="I23" s="10"/>
      <c r="J23"/>
    </row>
    <row r="24" spans="1:10" ht="18" customHeight="1" x14ac:dyDescent="0.3">
      <c r="A24" s="39"/>
      <c r="B24" s="13" t="s">
        <v>106</v>
      </c>
      <c r="C24" s="45">
        <f>(3500000000/166.386)/1000000</f>
        <v>21.035423653432382</v>
      </c>
      <c r="D24" s="45">
        <f>(4246649748/166.386)/1000000</f>
        <v>25.522879016263389</v>
      </c>
      <c r="E24" s="45">
        <f t="shared" si="0"/>
        <v>121.33284994285714</v>
      </c>
      <c r="F24" s="24"/>
      <c r="G24" s="266"/>
      <c r="H24" s="35"/>
      <c r="I24" s="10"/>
      <c r="J24"/>
    </row>
    <row r="25" spans="1:10" ht="18" customHeight="1" x14ac:dyDescent="0.3">
      <c r="A25" s="39"/>
      <c r="B25" s="47" t="s">
        <v>107</v>
      </c>
      <c r="C25" s="40">
        <f>SUM(C26:C29)</f>
        <v>237.82050172490474</v>
      </c>
      <c r="D25" s="40">
        <f>SUM(D26:D29)</f>
        <v>271.54965782577864</v>
      </c>
      <c r="E25" s="40">
        <f t="shared" si="0"/>
        <v>114.18261077419203</v>
      </c>
      <c r="F25" s="24"/>
      <c r="G25" s="266"/>
      <c r="H25" s="35"/>
      <c r="I25" s="10"/>
      <c r="J25"/>
    </row>
    <row r="26" spans="1:10" ht="18" customHeight="1" x14ac:dyDescent="0.3">
      <c r="A26" s="39"/>
      <c r="B26" s="13" t="s">
        <v>108</v>
      </c>
      <c r="C26" s="45">
        <f>(6050000000/166.386)/1000000</f>
        <v>36.361232315218828</v>
      </c>
      <c r="D26" s="45">
        <f>(7232485045/166.386)/1000000</f>
        <v>43.468110568196849</v>
      </c>
      <c r="E26" s="45">
        <f t="shared" si="0"/>
        <v>119.5452073553719</v>
      </c>
      <c r="F26" s="24"/>
      <c r="G26" s="266"/>
      <c r="H26" s="35"/>
      <c r="I26" s="10"/>
      <c r="J26"/>
    </row>
    <row r="27" spans="1:10" ht="18" customHeight="1" x14ac:dyDescent="0.3">
      <c r="A27" s="39"/>
      <c r="B27" s="13" t="s">
        <v>109</v>
      </c>
      <c r="C27" s="45">
        <f>(19250001000/166.386)/1000000</f>
        <v>115.69483610399914</v>
      </c>
      <c r="D27" s="45">
        <f>((21299868204+5193697)/166.386)/1000000</f>
        <v>128.04600087146756</v>
      </c>
      <c r="E27" s="45">
        <f t="shared" si="0"/>
        <v>110.67564048957712</v>
      </c>
      <c r="F27" s="24"/>
      <c r="G27" s="266"/>
      <c r="H27" s="35"/>
      <c r="I27" s="10"/>
      <c r="J27"/>
    </row>
    <row r="28" spans="1:10" ht="18" customHeight="1" x14ac:dyDescent="0.3">
      <c r="A28" s="39"/>
      <c r="B28" s="13" t="s">
        <v>110</v>
      </c>
      <c r="C28" s="45">
        <f>(7750001000/166.386)/1000000</f>
        <v>46.578444099864171</v>
      </c>
      <c r="D28" s="45">
        <f>((8968834602+398663101)/166.386)/1000000</f>
        <v>56.299795072902768</v>
      </c>
      <c r="E28" s="45">
        <f t="shared" si="0"/>
        <v>120.87092250697773</v>
      </c>
      <c r="F28" s="24"/>
      <c r="G28" s="266"/>
      <c r="H28" s="35"/>
      <c r="I28" s="10"/>
      <c r="J28"/>
    </row>
    <row r="29" spans="1:10" ht="18" customHeight="1" x14ac:dyDescent="0.3">
      <c r="A29" s="39"/>
      <c r="B29" s="13" t="s">
        <v>111</v>
      </c>
      <c r="C29" s="45">
        <f>(6520000000/166.386)/1000000</f>
        <v>39.185989205822608</v>
      </c>
      <c r="D29" s="45">
        <f>(7277016718/166.386)/1000000</f>
        <v>43.735751313211452</v>
      </c>
      <c r="E29" s="45">
        <f t="shared" si="0"/>
        <v>111.61068585889571</v>
      </c>
      <c r="F29" s="24"/>
      <c r="G29" s="266"/>
      <c r="H29" s="35"/>
      <c r="I29" s="10"/>
      <c r="J29"/>
    </row>
    <row r="30" spans="1:10" ht="18" customHeight="1" x14ac:dyDescent="0.3">
      <c r="A30" s="39">
        <v>2000</v>
      </c>
      <c r="B30" s="60" t="s">
        <v>104</v>
      </c>
      <c r="C30" s="40">
        <f>SUM(C31:C32)</f>
        <v>274.59642037190628</v>
      </c>
      <c r="D30" s="40">
        <f>SUM(D31:D32)</f>
        <v>277.90290433089325</v>
      </c>
      <c r="E30" s="40">
        <f t="shared" si="0"/>
        <v>101.20412493160281</v>
      </c>
      <c r="F30" s="24"/>
      <c r="G30" s="266"/>
      <c r="H30" s="35"/>
      <c r="I30" s="11"/>
      <c r="J30"/>
    </row>
    <row r="31" spans="1:10" ht="18" customHeight="1" x14ac:dyDescent="0.3">
      <c r="A31" s="39"/>
      <c r="B31" s="15" t="s">
        <v>105</v>
      </c>
      <c r="C31" s="45">
        <f>(41839000000/166.386)/1000000</f>
        <v>251.45745435313066</v>
      </c>
      <c r="D31" s="45">
        <f>(41840725000/166.386)/1000000</f>
        <v>251.46782181193132</v>
      </c>
      <c r="E31" s="45">
        <f t="shared" si="0"/>
        <v>100.00412294748919</v>
      </c>
      <c r="F31" s="24"/>
      <c r="G31" s="266"/>
      <c r="H31" s="35"/>
      <c r="I31" s="11"/>
      <c r="J31"/>
    </row>
    <row r="32" spans="1:10" ht="18" customHeight="1" x14ac:dyDescent="0.3">
      <c r="A32" s="39"/>
      <c r="B32" s="13" t="s">
        <v>106</v>
      </c>
      <c r="C32" s="45">
        <f>(3850000000/166.386)/1000000</f>
        <v>23.138966018775619</v>
      </c>
      <c r="D32" s="45">
        <f>(4398427640/166.386)/1000000</f>
        <v>26.435082518961934</v>
      </c>
      <c r="E32" s="45">
        <f t="shared" si="0"/>
        <v>114.24487376623378</v>
      </c>
      <c r="F32" s="24"/>
      <c r="G32" s="266"/>
      <c r="H32" s="35"/>
      <c r="I32" s="11"/>
      <c r="J32"/>
    </row>
    <row r="33" spans="1:10" ht="18" customHeight="1" x14ac:dyDescent="0.3">
      <c r="A33" s="39"/>
      <c r="B33" s="47" t="s">
        <v>107</v>
      </c>
      <c r="C33" s="40">
        <f>SUM(C34:C37)</f>
        <v>276.62183116367964</v>
      </c>
      <c r="D33" s="40">
        <f>SUM(D34:D37)</f>
        <v>309.83291286526514</v>
      </c>
      <c r="E33" s="40">
        <f t="shared" si="0"/>
        <v>112.00595107113371</v>
      </c>
      <c r="F33" s="24"/>
      <c r="G33" s="266"/>
      <c r="H33" s="35"/>
      <c r="I33" s="11"/>
      <c r="J33"/>
    </row>
    <row r="34" spans="1:10" ht="18" customHeight="1" x14ac:dyDescent="0.3">
      <c r="A34" s="39"/>
      <c r="B34" s="13" t="s">
        <v>108</v>
      </c>
      <c r="C34" s="45">
        <f>(6200000000/166.386)/1000000</f>
        <v>37.262750471794504</v>
      </c>
      <c r="D34" s="45">
        <f>(6774272517/166.386)/1000000</f>
        <v>40.71419781111392</v>
      </c>
      <c r="E34" s="45">
        <f t="shared" si="0"/>
        <v>109.2624599516129</v>
      </c>
      <c r="F34" s="24"/>
      <c r="G34" s="266"/>
      <c r="H34" s="35"/>
      <c r="I34" s="11"/>
      <c r="J34"/>
    </row>
    <row r="35" spans="1:10" ht="18" customHeight="1" x14ac:dyDescent="0.3">
      <c r="A35" s="39"/>
      <c r="B35" s="13" t="s">
        <v>109</v>
      </c>
      <c r="C35" s="45">
        <f>(23006000000/166.386)/1000000</f>
        <v>138.26884473453296</v>
      </c>
      <c r="D35" s="45">
        <f>(25729825951/166.386)/1000000</f>
        <v>154.63936840238961</v>
      </c>
      <c r="E35" s="45">
        <f t="shared" si="0"/>
        <v>111.83963292619315</v>
      </c>
      <c r="F35" s="24"/>
      <c r="G35" s="266"/>
      <c r="H35" s="35"/>
      <c r="I35" s="11"/>
      <c r="J35"/>
    </row>
    <row r="36" spans="1:10" ht="18" customHeight="1" x14ac:dyDescent="0.3">
      <c r="A36" s="39"/>
      <c r="B36" s="13" t="s">
        <v>110</v>
      </c>
      <c r="C36" s="45">
        <f>(8260000000/166.386)/1000000</f>
        <v>49.643599822100413</v>
      </c>
      <c r="D36" s="45">
        <f>(10348274810/166.386)/1000000</f>
        <v>62.194384202997846</v>
      </c>
      <c r="E36" s="45">
        <f t="shared" si="0"/>
        <v>125.28177736077481</v>
      </c>
      <c r="F36" s="24"/>
      <c r="G36" s="266"/>
      <c r="H36" s="35"/>
      <c r="I36" s="11"/>
      <c r="J36"/>
    </row>
    <row r="37" spans="1:10" ht="18" customHeight="1" x14ac:dyDescent="0.3">
      <c r="A37" s="39"/>
      <c r="B37" s="13" t="s">
        <v>111</v>
      </c>
      <c r="C37" s="45">
        <f>(8560000000/166.386)/1000000</f>
        <v>51.446636135251765</v>
      </c>
      <c r="D37" s="45">
        <f>(8699485762/166.386)/1000000</f>
        <v>52.284962448763721</v>
      </c>
      <c r="E37" s="45">
        <f t="shared" si="0"/>
        <v>101.62950656542056</v>
      </c>
      <c r="F37" s="24"/>
      <c r="G37" s="266"/>
      <c r="H37" s="35"/>
      <c r="I37" s="11"/>
      <c r="J37"/>
    </row>
    <row r="38" spans="1:10" ht="18" customHeight="1" x14ac:dyDescent="0.3">
      <c r="A38" s="41">
        <v>2001</v>
      </c>
      <c r="B38" s="60" t="s">
        <v>104</v>
      </c>
      <c r="C38" s="40">
        <f>SUM(C39:C40)</f>
        <v>290.33692738571756</v>
      </c>
      <c r="D38" s="40">
        <f>SUM(D39:D40)</f>
        <v>293.52512532304399</v>
      </c>
      <c r="E38" s="42">
        <f t="shared" si="0"/>
        <v>101.09810280284839</v>
      </c>
      <c r="F38" s="24"/>
      <c r="G38" s="266"/>
      <c r="H38" s="35"/>
      <c r="I38" s="10"/>
      <c r="J38"/>
    </row>
    <row r="39" spans="1:10" ht="18" customHeight="1" x14ac:dyDescent="0.3">
      <c r="A39" s="41"/>
      <c r="B39" s="15" t="s">
        <v>105</v>
      </c>
      <c r="C39" s="45">
        <f>(44308000000/166.386)/1000000</f>
        <v>266.29644321036625</v>
      </c>
      <c r="D39" s="45">
        <f>(44309046001/166.386)/1000000</f>
        <v>266.30272980298821</v>
      </c>
      <c r="E39" s="236">
        <f t="shared" si="0"/>
        <v>100.00236074975173</v>
      </c>
      <c r="F39" s="24"/>
      <c r="G39" s="266"/>
      <c r="H39" s="35"/>
      <c r="I39" s="10"/>
      <c r="J39"/>
    </row>
    <row r="40" spans="1:10" ht="18" customHeight="1" x14ac:dyDescent="0.3">
      <c r="A40" s="41"/>
      <c r="B40" s="13" t="s">
        <v>106</v>
      </c>
      <c r="C40" s="45">
        <f>(4000000000/166.386)/1000000</f>
        <v>24.040484175351292</v>
      </c>
      <c r="D40" s="45">
        <f>(4529425501/166.386)/1000000</f>
        <v>27.222395520055773</v>
      </c>
      <c r="E40" s="236">
        <f t="shared" si="0"/>
        <v>113.23563752499999</v>
      </c>
      <c r="F40" s="24"/>
      <c r="G40" s="266"/>
      <c r="H40" s="35"/>
      <c r="I40" s="10"/>
      <c r="J40"/>
    </row>
    <row r="41" spans="1:10" ht="18" customHeight="1" x14ac:dyDescent="0.3">
      <c r="A41" s="41"/>
      <c r="B41" s="47" t="s">
        <v>107</v>
      </c>
      <c r="C41" s="40">
        <f>SUM(C42:C45)</f>
        <v>324.48083156034761</v>
      </c>
      <c r="D41" s="40">
        <f>SUM(D42:D45)</f>
        <v>341.80995683531069</v>
      </c>
      <c r="E41" s="42">
        <f t="shared" si="0"/>
        <v>105.34056979317749</v>
      </c>
      <c r="F41" s="24"/>
      <c r="G41" s="266"/>
      <c r="H41" s="35"/>
      <c r="I41" s="10"/>
      <c r="J41"/>
    </row>
    <row r="42" spans="1:10" ht="18" customHeight="1" x14ac:dyDescent="0.3">
      <c r="A42" s="41"/>
      <c r="B42" s="13" t="s">
        <v>108</v>
      </c>
      <c r="C42" s="45">
        <f>(7525066640/166.386)/1000000</f>
        <v>45.22656136934598</v>
      </c>
      <c r="D42" s="45">
        <f>(10543840712/166.386)/1000000</f>
        <v>63.369758946065176</v>
      </c>
      <c r="E42" s="236">
        <f t="shared" si="0"/>
        <v>140.11624370146444</v>
      </c>
      <c r="F42" s="24"/>
      <c r="G42" s="266"/>
      <c r="H42" s="35"/>
      <c r="I42" s="10"/>
      <c r="J42"/>
    </row>
    <row r="43" spans="1:10" ht="18" customHeight="1" x14ac:dyDescent="0.3">
      <c r="A43" s="41"/>
      <c r="B43" s="13" t="s">
        <v>109</v>
      </c>
      <c r="C43" s="45">
        <f>(25500000500/166.386)/1000000</f>
        <v>153.25808962292501</v>
      </c>
      <c r="D43" s="45">
        <f>(26767907435/166.386)/1000000</f>
        <v>160.87836377459644</v>
      </c>
      <c r="E43" s="236">
        <f t="shared" si="0"/>
        <v>104.97218396132972</v>
      </c>
      <c r="F43" s="24"/>
      <c r="G43" s="266"/>
      <c r="H43" s="35"/>
      <c r="I43" s="10"/>
      <c r="J43"/>
    </row>
    <row r="44" spans="1:10" ht="18" customHeight="1" x14ac:dyDescent="0.3">
      <c r="A44" s="41"/>
      <c r="B44" s="13" t="s">
        <v>110</v>
      </c>
      <c r="C44" s="45">
        <f>(10200000500/166.386)/1000000</f>
        <v>61.303237652206313</v>
      </c>
      <c r="D44" s="45">
        <f>(9965908556/166.386)/1000000</f>
        <v>59.896316733379017</v>
      </c>
      <c r="E44" s="236">
        <f t="shared" si="0"/>
        <v>97.704981053677415</v>
      </c>
      <c r="F44" s="24"/>
      <c r="G44" s="266"/>
      <c r="H44" s="35"/>
      <c r="I44" s="10"/>
      <c r="J44"/>
    </row>
    <row r="45" spans="1:10" ht="18" customHeight="1" x14ac:dyDescent="0.3">
      <c r="A45" s="41"/>
      <c r="B45" s="13" t="s">
        <v>111</v>
      </c>
      <c r="C45" s="45">
        <f>(10764000000/166.386)/1000000</f>
        <v>64.692942915870319</v>
      </c>
      <c r="D45" s="45">
        <f>(9594734775/166.386)/1000000</f>
        <v>57.665517381270057</v>
      </c>
      <c r="E45" s="236">
        <f t="shared" si="0"/>
        <v>89.137261008918628</v>
      </c>
      <c r="F45" s="24"/>
      <c r="G45" s="266"/>
      <c r="H45" s="35"/>
      <c r="I45" s="10"/>
      <c r="J45"/>
    </row>
    <row r="46" spans="1:10" ht="18" customHeight="1" x14ac:dyDescent="0.3">
      <c r="A46" s="41">
        <v>2002</v>
      </c>
      <c r="B46" s="60" t="s">
        <v>104</v>
      </c>
      <c r="C46" s="40">
        <f>SUM(C47:C48)</f>
        <v>27.65</v>
      </c>
      <c r="D46" s="40">
        <f>SUM(D47:D48)</f>
        <v>27.61</v>
      </c>
      <c r="E46" s="43">
        <f t="shared" si="0"/>
        <v>99.85533453887885</v>
      </c>
      <c r="F46" s="24"/>
      <c r="G46" s="266"/>
      <c r="H46" s="35"/>
      <c r="I46" s="10"/>
      <c r="J46"/>
    </row>
    <row r="47" spans="1:10" ht="18" customHeight="1" x14ac:dyDescent="0.3">
      <c r="A47" s="41"/>
      <c r="B47" s="15" t="s">
        <v>105</v>
      </c>
      <c r="C47" s="45"/>
      <c r="D47" s="45"/>
      <c r="E47" s="43"/>
      <c r="F47" s="24"/>
      <c r="G47" s="266"/>
      <c r="H47" s="35"/>
      <c r="I47" s="10"/>
      <c r="J47"/>
    </row>
    <row r="48" spans="1:10" ht="18" customHeight="1" x14ac:dyDescent="0.3">
      <c r="A48" s="41"/>
      <c r="B48" s="13" t="s">
        <v>106</v>
      </c>
      <c r="C48" s="45">
        <v>27.65</v>
      </c>
      <c r="D48" s="45">
        <v>27.61</v>
      </c>
      <c r="E48" s="237">
        <f t="shared" si="0"/>
        <v>99.85533453887885</v>
      </c>
      <c r="F48" s="24"/>
      <c r="G48" s="266"/>
      <c r="H48" s="35"/>
      <c r="I48" s="10"/>
      <c r="J48"/>
    </row>
    <row r="49" spans="1:10" ht="18" customHeight="1" x14ac:dyDescent="0.3">
      <c r="A49" s="41"/>
      <c r="B49" s="47" t="s">
        <v>107</v>
      </c>
      <c r="C49" s="40">
        <f>SUM(C50:C53)</f>
        <v>329.15</v>
      </c>
      <c r="D49" s="40">
        <f>SUM(D50:D53)</f>
        <v>351.84000000000003</v>
      </c>
      <c r="E49" s="43">
        <f t="shared" si="0"/>
        <v>106.89351359562511</v>
      </c>
      <c r="F49" s="24"/>
      <c r="G49" s="266"/>
      <c r="H49" s="35"/>
      <c r="I49" s="10"/>
      <c r="J49"/>
    </row>
    <row r="50" spans="1:10" ht="18" customHeight="1" x14ac:dyDescent="0.3">
      <c r="A50" s="41"/>
      <c r="B50" s="13" t="s">
        <v>108</v>
      </c>
      <c r="C50" s="45">
        <v>45.68</v>
      </c>
      <c r="D50" s="45">
        <v>70.989999999999995</v>
      </c>
      <c r="E50" s="237">
        <f t="shared" si="0"/>
        <v>155.40718038528897</v>
      </c>
      <c r="F50" s="24"/>
      <c r="G50" s="266"/>
      <c r="H50" s="35"/>
      <c r="I50" s="10"/>
      <c r="J50"/>
    </row>
    <row r="51" spans="1:10" ht="18" customHeight="1" x14ac:dyDescent="0.3">
      <c r="A51" s="41"/>
      <c r="B51" s="13" t="s">
        <v>109</v>
      </c>
      <c r="C51" s="45">
        <v>153.26</v>
      </c>
      <c r="D51" s="45">
        <v>168.4</v>
      </c>
      <c r="E51" s="237">
        <f t="shared" si="0"/>
        <v>109.87863760929142</v>
      </c>
      <c r="F51" s="24"/>
      <c r="G51" s="266"/>
      <c r="H51" s="35"/>
      <c r="I51" s="10"/>
      <c r="J51"/>
    </row>
    <row r="52" spans="1:10" ht="18" customHeight="1" x14ac:dyDescent="0.3">
      <c r="A52" s="41"/>
      <c r="B52" s="13" t="s">
        <v>110</v>
      </c>
      <c r="C52" s="45">
        <v>61.3</v>
      </c>
      <c r="D52" s="45">
        <v>58.72</v>
      </c>
      <c r="E52" s="237">
        <f t="shared" si="0"/>
        <v>95.791190864600324</v>
      </c>
      <c r="F52" s="24"/>
      <c r="G52" s="266"/>
      <c r="H52" s="35"/>
      <c r="I52" s="10"/>
      <c r="J52"/>
    </row>
    <row r="53" spans="1:10" ht="18" customHeight="1" x14ac:dyDescent="0.3">
      <c r="A53" s="41"/>
      <c r="B53" s="13" t="s">
        <v>111</v>
      </c>
      <c r="C53" s="45">
        <v>68.91</v>
      </c>
      <c r="D53" s="45">
        <v>53.73</v>
      </c>
      <c r="E53" s="237">
        <f t="shared" si="0"/>
        <v>77.971266869830217</v>
      </c>
      <c r="F53" s="24"/>
      <c r="G53" s="266"/>
      <c r="H53" s="35"/>
      <c r="I53" s="10"/>
      <c r="J53"/>
    </row>
    <row r="54" spans="1:10" ht="18" customHeight="1" x14ac:dyDescent="0.3">
      <c r="A54" s="41">
        <v>2003</v>
      </c>
      <c r="B54" s="60" t="s">
        <v>104</v>
      </c>
      <c r="C54" s="40">
        <f>SUM(C55:C58)</f>
        <v>1418.3706099999999</v>
      </c>
      <c r="D54" s="40">
        <f>SUM(D55:D58)</f>
        <v>1406.7012068199999</v>
      </c>
      <c r="E54" s="43">
        <f t="shared" si="0"/>
        <v>99.177266992298996</v>
      </c>
      <c r="F54" s="24"/>
      <c r="G54" s="266"/>
      <c r="H54" s="35"/>
      <c r="I54" s="10"/>
      <c r="J54"/>
    </row>
    <row r="55" spans="1:10" ht="18" customHeight="1" x14ac:dyDescent="0.3">
      <c r="A55" s="41"/>
      <c r="B55" s="15" t="s">
        <v>105</v>
      </c>
      <c r="C55" s="45">
        <v>330.24</v>
      </c>
      <c r="D55" s="45">
        <v>330.24</v>
      </c>
      <c r="E55" s="237">
        <f t="shared" si="0"/>
        <v>100</v>
      </c>
      <c r="F55" s="24"/>
      <c r="G55" s="266"/>
      <c r="H55" s="35"/>
      <c r="I55" s="10"/>
      <c r="J55"/>
    </row>
    <row r="56" spans="1:10" ht="18" customHeight="1" x14ac:dyDescent="0.3">
      <c r="A56" s="41"/>
      <c r="B56" s="13" t="s">
        <v>106</v>
      </c>
      <c r="C56" s="45">
        <v>29.86</v>
      </c>
      <c r="D56" s="45">
        <v>28.7</v>
      </c>
      <c r="E56" s="237">
        <f t="shared" si="0"/>
        <v>96.11520428667113</v>
      </c>
      <c r="F56" s="24"/>
      <c r="G56" s="266"/>
      <c r="H56" s="35"/>
      <c r="I56" s="10"/>
      <c r="J56"/>
    </row>
    <row r="57" spans="1:10" ht="18" customHeight="1" x14ac:dyDescent="0.3">
      <c r="A57" s="41"/>
      <c r="B57" s="13" t="s">
        <v>112</v>
      </c>
      <c r="C57" s="45">
        <v>748.84</v>
      </c>
      <c r="D57" s="45">
        <v>748.84</v>
      </c>
      <c r="E57" s="237">
        <f t="shared" si="0"/>
        <v>100</v>
      </c>
      <c r="F57" s="24"/>
      <c r="G57" s="266"/>
      <c r="H57" s="35"/>
      <c r="I57" s="10"/>
      <c r="J57"/>
    </row>
    <row r="58" spans="1:10" ht="18" customHeight="1" x14ac:dyDescent="0.3">
      <c r="A58" s="41"/>
      <c r="B58" s="13" t="s">
        <v>113</v>
      </c>
      <c r="C58" s="45">
        <f>(351430610-42000000)/1000000</f>
        <v>309.43061</v>
      </c>
      <c r="D58" s="45">
        <f>(352514958.92-53593752.1)/1000000</f>
        <v>298.92120682000001</v>
      </c>
      <c r="E58" s="237">
        <f t="shared" si="0"/>
        <v>96.603631689831843</v>
      </c>
      <c r="F58" s="24"/>
      <c r="G58" s="266"/>
      <c r="H58" s="35"/>
      <c r="I58" s="10"/>
      <c r="J58"/>
    </row>
    <row r="59" spans="1:10" ht="18" customHeight="1" x14ac:dyDescent="0.3">
      <c r="A59" s="41"/>
      <c r="B59" s="47" t="s">
        <v>107</v>
      </c>
      <c r="C59" s="40">
        <f>SUM(C60:C63)</f>
        <v>349.75</v>
      </c>
      <c r="D59" s="40">
        <f>SUM(D60:D63)</f>
        <v>388.45</v>
      </c>
      <c r="E59" s="43">
        <f t="shared" si="0"/>
        <v>111.06504646175839</v>
      </c>
      <c r="F59" s="24"/>
      <c r="G59" s="266"/>
      <c r="H59" s="35"/>
      <c r="I59" s="10"/>
      <c r="J59"/>
    </row>
    <row r="60" spans="1:10" ht="18" customHeight="1" x14ac:dyDescent="0.3">
      <c r="A60" s="41"/>
      <c r="B60" s="13" t="s">
        <v>108</v>
      </c>
      <c r="C60" s="45">
        <v>51</v>
      </c>
      <c r="D60" s="45">
        <v>63.74</v>
      </c>
      <c r="E60" s="237">
        <f t="shared" si="0"/>
        <v>124.98039215686273</v>
      </c>
      <c r="F60" s="24"/>
      <c r="G60" s="266"/>
      <c r="H60" s="35"/>
      <c r="I60" s="10"/>
      <c r="J60"/>
    </row>
    <row r="61" spans="1:10" ht="18" customHeight="1" x14ac:dyDescent="0.3">
      <c r="A61" s="41"/>
      <c r="B61" s="13" t="s">
        <v>109</v>
      </c>
      <c r="C61" s="45">
        <v>166.75</v>
      </c>
      <c r="D61" s="45">
        <v>198.63</v>
      </c>
      <c r="E61" s="237">
        <f t="shared" si="0"/>
        <v>119.1184407796102</v>
      </c>
      <c r="F61" s="24"/>
      <c r="G61" s="266"/>
      <c r="H61" s="35"/>
      <c r="I61" s="10"/>
      <c r="J61"/>
    </row>
    <row r="62" spans="1:10" ht="18" customHeight="1" x14ac:dyDescent="0.3">
      <c r="A62" s="41"/>
      <c r="B62" s="13" t="s">
        <v>110</v>
      </c>
      <c r="C62" s="45">
        <v>64.5</v>
      </c>
      <c r="D62" s="45">
        <v>72.14</v>
      </c>
      <c r="E62" s="237">
        <f t="shared" si="0"/>
        <v>111.84496124031007</v>
      </c>
      <c r="F62" s="24"/>
      <c r="G62" s="266"/>
      <c r="H62" s="35"/>
      <c r="I62" s="10"/>
      <c r="J62"/>
    </row>
    <row r="63" spans="1:10" ht="18" customHeight="1" x14ac:dyDescent="0.3">
      <c r="A63" s="41"/>
      <c r="B63" s="13" t="s">
        <v>111</v>
      </c>
      <c r="C63" s="45">
        <v>67.5</v>
      </c>
      <c r="D63" s="45">
        <v>53.94</v>
      </c>
      <c r="E63" s="237">
        <f t="shared" si="0"/>
        <v>79.911111111111111</v>
      </c>
      <c r="F63" s="24"/>
      <c r="G63" s="266"/>
      <c r="H63" s="35"/>
      <c r="I63" s="10"/>
      <c r="J63"/>
    </row>
    <row r="64" spans="1:10" ht="18" customHeight="1" x14ac:dyDescent="0.3">
      <c r="A64" s="47">
        <v>2004</v>
      </c>
      <c r="B64" s="60" t="s">
        <v>104</v>
      </c>
      <c r="C64" s="54">
        <f>SUM(C65:C68)</f>
        <v>1527.8</v>
      </c>
      <c r="D64" s="54">
        <f>SUM(D65:D68)</f>
        <v>1491.3013305899999</v>
      </c>
      <c r="E64" s="43">
        <f t="shared" si="0"/>
        <v>97.611030932713703</v>
      </c>
      <c r="F64" s="38"/>
      <c r="G64" s="266"/>
      <c r="H64" s="35"/>
      <c r="I64" s="10"/>
      <c r="J64"/>
    </row>
    <row r="65" spans="1:10" ht="18" customHeight="1" x14ac:dyDescent="0.3">
      <c r="A65" s="47"/>
      <c r="B65" s="15" t="s">
        <v>105</v>
      </c>
      <c r="C65" s="32">
        <v>378.07</v>
      </c>
      <c r="D65" s="45">
        <v>421.41</v>
      </c>
      <c r="E65" s="237">
        <f t="shared" si="0"/>
        <v>111.46348559790515</v>
      </c>
      <c r="F65" s="38"/>
      <c r="G65" s="266"/>
      <c r="H65" s="35"/>
      <c r="I65" s="10"/>
      <c r="J65"/>
    </row>
    <row r="66" spans="1:10" ht="18" customHeight="1" x14ac:dyDescent="0.3">
      <c r="A66" s="47"/>
      <c r="B66" s="13" t="s">
        <v>106</v>
      </c>
      <c r="C66" s="32">
        <v>30</v>
      </c>
      <c r="D66" s="45">
        <v>30.2</v>
      </c>
      <c r="E66" s="237">
        <f t="shared" si="0"/>
        <v>100.66666666666666</v>
      </c>
      <c r="F66" s="38"/>
      <c r="G66" s="266"/>
      <c r="H66" s="35"/>
      <c r="I66" s="10"/>
      <c r="J66"/>
    </row>
    <row r="67" spans="1:10" ht="18" customHeight="1" x14ac:dyDescent="0.3">
      <c r="A67" s="47"/>
      <c r="B67" s="13" t="s">
        <v>112</v>
      </c>
      <c r="C67" s="32">
        <v>790.64</v>
      </c>
      <c r="D67" s="45">
        <v>715.03</v>
      </c>
      <c r="E67" s="237">
        <f t="shared" si="0"/>
        <v>90.436861276940192</v>
      </c>
      <c r="F67" s="38"/>
      <c r="G67" s="266"/>
      <c r="H67" s="35"/>
      <c r="I67" s="10"/>
      <c r="J67"/>
    </row>
    <row r="68" spans="1:10" ht="18" customHeight="1" x14ac:dyDescent="0.3">
      <c r="A68" s="47"/>
      <c r="B68" s="13" t="s">
        <v>113</v>
      </c>
      <c r="C68" s="32">
        <v>329.09</v>
      </c>
      <c r="D68" s="45">
        <f>(327098703.76-2437373.17)/1000000</f>
        <v>324.66133058999998</v>
      </c>
      <c r="E68" s="237">
        <f t="shared" si="0"/>
        <v>98.654268008751416</v>
      </c>
      <c r="F68" s="38"/>
      <c r="G68" s="266"/>
      <c r="H68" s="35"/>
      <c r="I68" s="10"/>
      <c r="J68"/>
    </row>
    <row r="69" spans="1:10" ht="18" customHeight="1" x14ac:dyDescent="0.3">
      <c r="A69" s="47"/>
      <c r="B69" s="47" t="s">
        <v>107</v>
      </c>
      <c r="C69" s="54">
        <f>SUM(C70:C73)</f>
        <v>352.32</v>
      </c>
      <c r="D69" s="54">
        <f>SUM(D70:D73)</f>
        <v>463.53000000000003</v>
      </c>
      <c r="E69" s="43">
        <f t="shared" si="0"/>
        <v>131.56505449591282</v>
      </c>
      <c r="F69" s="38"/>
      <c r="G69" s="266"/>
      <c r="H69" s="35"/>
      <c r="I69" s="10"/>
      <c r="J69"/>
    </row>
    <row r="70" spans="1:10" ht="18" customHeight="1" x14ac:dyDescent="0.3">
      <c r="A70" s="47"/>
      <c r="B70" s="13" t="s">
        <v>108</v>
      </c>
      <c r="C70" s="32">
        <v>52.3</v>
      </c>
      <c r="D70" s="32">
        <v>66.5</v>
      </c>
      <c r="E70" s="237">
        <f t="shared" si="0"/>
        <v>127.15105162523901</v>
      </c>
      <c r="F70" s="38"/>
      <c r="G70" s="266"/>
      <c r="H70" s="35"/>
      <c r="I70" s="10"/>
      <c r="J70"/>
    </row>
    <row r="71" spans="1:10" ht="18" customHeight="1" x14ac:dyDescent="0.3">
      <c r="A71" s="47"/>
      <c r="B71" s="13" t="s">
        <v>109</v>
      </c>
      <c r="C71" s="32">
        <v>180</v>
      </c>
      <c r="D71" s="45">
        <v>248.93</v>
      </c>
      <c r="E71" s="237">
        <f t="shared" si="0"/>
        <v>138.29444444444445</v>
      </c>
      <c r="F71" s="38"/>
      <c r="G71" s="266"/>
      <c r="H71" s="35"/>
      <c r="I71" s="10"/>
      <c r="J71"/>
    </row>
    <row r="72" spans="1:10" ht="18" customHeight="1" x14ac:dyDescent="0.3">
      <c r="A72" s="47"/>
      <c r="B72" s="13" t="s">
        <v>110</v>
      </c>
      <c r="C72" s="32">
        <v>62</v>
      </c>
      <c r="D72" s="45">
        <v>90.65</v>
      </c>
      <c r="E72" s="237">
        <f t="shared" si="0"/>
        <v>146.20967741935485</v>
      </c>
      <c r="F72" s="38"/>
      <c r="G72" s="266"/>
      <c r="H72" s="35"/>
      <c r="I72" s="10"/>
      <c r="J72"/>
    </row>
    <row r="73" spans="1:10" ht="18" customHeight="1" x14ac:dyDescent="0.3">
      <c r="A73" s="47"/>
      <c r="B73" s="13" t="s">
        <v>111</v>
      </c>
      <c r="C73" s="32">
        <v>58.02</v>
      </c>
      <c r="D73" s="45">
        <v>57.45</v>
      </c>
      <c r="E73" s="237">
        <f t="shared" si="0"/>
        <v>99.017580144777668</v>
      </c>
      <c r="F73" s="38"/>
      <c r="G73" s="266"/>
      <c r="H73" s="35"/>
      <c r="I73" s="10"/>
      <c r="J73"/>
    </row>
    <row r="74" spans="1:10" ht="18" customHeight="1" x14ac:dyDescent="0.25">
      <c r="A74" s="60">
        <v>2005</v>
      </c>
      <c r="B74" s="60" t="s">
        <v>104</v>
      </c>
      <c r="C74" s="40">
        <f>SUM(C75:C78)</f>
        <v>1594.7600000000002</v>
      </c>
      <c r="D74" s="40">
        <f>SUM(D75:D78)</f>
        <v>1657.9150057300001</v>
      </c>
      <c r="E74" s="43">
        <f t="shared" si="0"/>
        <v>103.96015737352329</v>
      </c>
      <c r="G74" s="266"/>
      <c r="H74" s="35"/>
      <c r="I74" s="10"/>
      <c r="J74"/>
    </row>
    <row r="75" spans="1:10" ht="18" customHeight="1" x14ac:dyDescent="0.25">
      <c r="A75" s="60"/>
      <c r="B75" s="15" t="s">
        <v>105</v>
      </c>
      <c r="C75" s="45">
        <v>400.85</v>
      </c>
      <c r="D75" s="45">
        <v>447.95</v>
      </c>
      <c r="E75" s="237">
        <f t="shared" si="0"/>
        <v>111.75003118373455</v>
      </c>
      <c r="G75" s="35"/>
      <c r="H75" s="35"/>
      <c r="I75" s="10"/>
      <c r="J75"/>
    </row>
    <row r="76" spans="1:10" ht="18" customHeight="1" x14ac:dyDescent="0.25">
      <c r="A76" s="60"/>
      <c r="B76" s="13" t="s">
        <v>106</v>
      </c>
      <c r="C76" s="45">
        <v>30.6</v>
      </c>
      <c r="D76" s="45">
        <v>34.22</v>
      </c>
      <c r="E76" s="237">
        <f t="shared" si="0"/>
        <v>111.8300653594771</v>
      </c>
      <c r="G76" s="35"/>
      <c r="H76" s="35"/>
      <c r="I76" s="10"/>
      <c r="J76"/>
    </row>
    <row r="77" spans="1:10" ht="18" customHeight="1" x14ac:dyDescent="0.25">
      <c r="A77" s="60"/>
      <c r="B77" s="13" t="s">
        <v>112</v>
      </c>
      <c r="C77" s="45">
        <v>836.41</v>
      </c>
      <c r="D77" s="45">
        <v>827.69</v>
      </c>
      <c r="E77" s="237">
        <f t="shared" si="0"/>
        <v>98.95744909793045</v>
      </c>
      <c r="G77" s="35"/>
      <c r="H77" s="35"/>
      <c r="I77" s="10"/>
      <c r="J77"/>
    </row>
    <row r="78" spans="1:10" ht="18" customHeight="1" x14ac:dyDescent="0.25">
      <c r="A78" s="60"/>
      <c r="B78" s="13" t="s">
        <v>113</v>
      </c>
      <c r="C78" s="45">
        <v>326.89999999999998</v>
      </c>
      <c r="D78" s="45">
        <f>(348175330.21-120324.48)/1000000</f>
        <v>348.05500572999995</v>
      </c>
      <c r="E78" s="237">
        <f t="shared" si="0"/>
        <v>106.47139973386355</v>
      </c>
      <c r="G78" s="35"/>
      <c r="H78" s="35"/>
      <c r="I78" s="10"/>
      <c r="J78"/>
    </row>
    <row r="79" spans="1:10" ht="18" customHeight="1" x14ac:dyDescent="0.25">
      <c r="A79" s="60"/>
      <c r="B79" s="47" t="s">
        <v>107</v>
      </c>
      <c r="C79" s="40">
        <f>SUM(C80:C83)</f>
        <v>463.34000000000003</v>
      </c>
      <c r="D79" s="40">
        <f>SUM(D80:D83)</f>
        <v>658.7</v>
      </c>
      <c r="E79" s="43">
        <f>D79/C79*100</f>
        <v>142.1634221090344</v>
      </c>
      <c r="G79" s="35"/>
      <c r="H79" s="35"/>
      <c r="I79" s="10"/>
      <c r="J79"/>
    </row>
    <row r="80" spans="1:10" ht="18" customHeight="1" x14ac:dyDescent="0.25">
      <c r="A80" s="60"/>
      <c r="B80" s="13" t="s">
        <v>108</v>
      </c>
      <c r="C80" s="45">
        <v>50</v>
      </c>
      <c r="D80" s="45">
        <v>76.42</v>
      </c>
      <c r="E80" s="237">
        <f>D80/C80*100</f>
        <v>152.84</v>
      </c>
      <c r="G80" s="35"/>
      <c r="H80" s="35"/>
      <c r="I80" s="10"/>
      <c r="J80"/>
    </row>
    <row r="81" spans="1:10" ht="18" customHeight="1" x14ac:dyDescent="0.25">
      <c r="A81" s="60"/>
      <c r="B81" s="13" t="s">
        <v>109</v>
      </c>
      <c r="C81" s="45">
        <v>216.39</v>
      </c>
      <c r="D81" s="45">
        <v>324.52</v>
      </c>
      <c r="E81" s="237">
        <f t="shared" si="0"/>
        <v>149.96996164332919</v>
      </c>
      <c r="G81" s="35"/>
      <c r="H81" s="35"/>
      <c r="I81" s="10"/>
      <c r="J81"/>
    </row>
    <row r="82" spans="1:10" ht="18" customHeight="1" x14ac:dyDescent="0.25">
      <c r="A82" s="60"/>
      <c r="B82" s="13" t="s">
        <v>110</v>
      </c>
      <c r="C82" s="45">
        <v>137.72999999999999</v>
      </c>
      <c r="D82" s="45">
        <v>200.17</v>
      </c>
      <c r="E82" s="237">
        <f t="shared" si="0"/>
        <v>145.33507587308503</v>
      </c>
      <c r="G82" s="35"/>
      <c r="H82" s="35"/>
      <c r="I82" s="10"/>
      <c r="J82"/>
    </row>
    <row r="83" spans="1:10" ht="18" customHeight="1" x14ac:dyDescent="0.25">
      <c r="A83" s="60"/>
      <c r="B83" s="13" t="s">
        <v>111</v>
      </c>
      <c r="C83" s="45">
        <v>59.22</v>
      </c>
      <c r="D83" s="45">
        <v>57.59</v>
      </c>
      <c r="E83" s="237">
        <f t="shared" si="0"/>
        <v>97.24755150287065</v>
      </c>
      <c r="G83" s="35"/>
      <c r="H83" s="35"/>
      <c r="I83" s="10"/>
      <c r="J83"/>
    </row>
    <row r="84" spans="1:10" ht="18" customHeight="1" x14ac:dyDescent="0.25">
      <c r="A84" s="60">
        <v>2006</v>
      </c>
      <c r="B84" s="60" t="s">
        <v>104</v>
      </c>
      <c r="C84" s="40">
        <f>SUM(C85:C88)</f>
        <v>1683.09</v>
      </c>
      <c r="D84" s="40">
        <f>SUM(D85:D88)</f>
        <v>1810.3298682299999</v>
      </c>
      <c r="E84" s="42">
        <f t="shared" si="0"/>
        <v>107.55989687004259</v>
      </c>
      <c r="G84" s="35"/>
      <c r="H84" s="35"/>
      <c r="I84" s="10"/>
      <c r="J84"/>
    </row>
    <row r="85" spans="1:10" s="28" customFormat="1" ht="18" customHeight="1" x14ac:dyDescent="0.3">
      <c r="A85" s="37"/>
      <c r="B85" s="15" t="s">
        <v>105</v>
      </c>
      <c r="C85" s="45">
        <v>437.14</v>
      </c>
      <c r="D85" s="45">
        <v>497.92</v>
      </c>
      <c r="E85" s="236">
        <f t="shared" si="0"/>
        <v>113.90401244452579</v>
      </c>
      <c r="F85" s="25"/>
      <c r="G85" s="31"/>
      <c r="H85" s="31"/>
      <c r="I85" s="24"/>
    </row>
    <row r="86" spans="1:10" s="28" customFormat="1" ht="18" customHeight="1" x14ac:dyDescent="0.3">
      <c r="B86" s="13" t="s">
        <v>106</v>
      </c>
      <c r="C86" s="32">
        <v>33</v>
      </c>
      <c r="D86" s="32">
        <v>42.25</v>
      </c>
      <c r="E86" s="236">
        <f t="shared" si="0"/>
        <v>128.03030303030303</v>
      </c>
      <c r="F86" s="37"/>
      <c r="G86" s="37"/>
      <c r="H86" s="31"/>
      <c r="I86" s="24"/>
    </row>
    <row r="87" spans="1:10" s="28" customFormat="1" ht="18" customHeight="1" x14ac:dyDescent="0.3">
      <c r="B87" s="13" t="s">
        <v>112</v>
      </c>
      <c r="C87" s="32">
        <v>873.88</v>
      </c>
      <c r="D87" s="32">
        <v>900.43</v>
      </c>
      <c r="E87" s="236">
        <f t="shared" si="0"/>
        <v>103.03817457774522</v>
      </c>
      <c r="F87" s="37"/>
      <c r="G87" s="37"/>
      <c r="H87" s="31"/>
      <c r="I87" s="24"/>
    </row>
    <row r="88" spans="1:10" s="28" customFormat="1" ht="18" customHeight="1" x14ac:dyDescent="0.3">
      <c r="B88" s="13" t="s">
        <v>113</v>
      </c>
      <c r="C88" s="32">
        <v>339.07</v>
      </c>
      <c r="D88" s="32">
        <f>(371333926.2-1604057.97)/1000000</f>
        <v>369.72986822999997</v>
      </c>
      <c r="E88" s="236">
        <f t="shared" si="0"/>
        <v>109.0423417671867</v>
      </c>
      <c r="F88" s="37"/>
      <c r="G88" s="37"/>
      <c r="H88" s="31"/>
      <c r="I88" s="24"/>
    </row>
    <row r="89" spans="1:10" s="28" customFormat="1" ht="18" customHeight="1" x14ac:dyDescent="0.3">
      <c r="B89" s="47" t="s">
        <v>107</v>
      </c>
      <c r="C89" s="54">
        <f>SUM(C90:C93)</f>
        <v>585.97</v>
      </c>
      <c r="D89" s="54">
        <f>SUM(D90:D93)</f>
        <v>799.3</v>
      </c>
      <c r="E89" s="42">
        <f t="shared" si="0"/>
        <v>136.40630066385651</v>
      </c>
      <c r="F89" s="37"/>
      <c r="H89" s="31"/>
      <c r="I89" s="24"/>
    </row>
    <row r="90" spans="1:10" s="28" customFormat="1" ht="18" customHeight="1" x14ac:dyDescent="0.3">
      <c r="B90" s="13" t="s">
        <v>108</v>
      </c>
      <c r="C90" s="32">
        <v>68.2</v>
      </c>
      <c r="D90" s="32">
        <v>87.34</v>
      </c>
      <c r="E90" s="236">
        <f t="shared" si="0"/>
        <v>128.06451612903226</v>
      </c>
      <c r="F90" s="37"/>
      <c r="H90" s="31"/>
      <c r="I90" s="24"/>
    </row>
    <row r="91" spans="1:10" s="28" customFormat="1" ht="18" customHeight="1" x14ac:dyDescent="0.3">
      <c r="B91" s="13" t="s">
        <v>109</v>
      </c>
      <c r="C91" s="32">
        <v>286.62</v>
      </c>
      <c r="D91" s="32">
        <v>404.42</v>
      </c>
      <c r="E91" s="236">
        <f t="shared" si="0"/>
        <v>141.0997139069151</v>
      </c>
      <c r="H91" s="24"/>
      <c r="I91" s="24"/>
    </row>
    <row r="92" spans="1:10" s="28" customFormat="1" ht="18" customHeight="1" x14ac:dyDescent="0.3">
      <c r="B92" s="13" t="s">
        <v>110</v>
      </c>
      <c r="C92" s="32">
        <v>169.7</v>
      </c>
      <c r="D92" s="32">
        <v>249.31</v>
      </c>
      <c r="E92" s="236">
        <f t="shared" si="0"/>
        <v>146.91219799646436</v>
      </c>
      <c r="H92" s="24"/>
      <c r="I92" s="24"/>
    </row>
    <row r="93" spans="1:10" s="28" customFormat="1" ht="18" customHeight="1" x14ac:dyDescent="0.3">
      <c r="B93" s="13" t="s">
        <v>111</v>
      </c>
      <c r="C93" s="32">
        <v>61.45</v>
      </c>
      <c r="D93" s="32">
        <v>58.23</v>
      </c>
      <c r="E93" s="236">
        <f t="shared" si="0"/>
        <v>94.759967453213989</v>
      </c>
      <c r="H93" s="238"/>
      <c r="I93" s="238"/>
      <c r="J93" s="239"/>
    </row>
    <row r="94" spans="1:10" s="28" customFormat="1" ht="18" customHeight="1" x14ac:dyDescent="0.3">
      <c r="A94" s="60">
        <v>2007</v>
      </c>
      <c r="B94" s="60" t="s">
        <v>104</v>
      </c>
      <c r="C94" s="54">
        <f>SUM(C95:C98)</f>
        <v>1810.1499999999999</v>
      </c>
      <c r="D94" s="54">
        <f>SUM(D95:D98)</f>
        <v>1937.8799999999999</v>
      </c>
      <c r="E94" s="240">
        <f t="shared" ref="E94:E103" si="1">D94/C94*100</f>
        <v>107.05632129933984</v>
      </c>
      <c r="G94" s="267"/>
      <c r="H94" s="241"/>
      <c r="I94" s="241"/>
      <c r="J94" s="239"/>
    </row>
    <row r="95" spans="1:10" s="28" customFormat="1" ht="18" customHeight="1" x14ac:dyDescent="0.3">
      <c r="A95" s="37"/>
      <c r="B95" s="15" t="s">
        <v>105</v>
      </c>
      <c r="C95" s="29">
        <v>480.34</v>
      </c>
      <c r="D95" s="29">
        <v>560.16999999999996</v>
      </c>
      <c r="E95" s="240">
        <f t="shared" si="1"/>
        <v>116.61947786984219</v>
      </c>
      <c r="G95" s="267"/>
      <c r="H95" s="25"/>
      <c r="I95" s="25"/>
      <c r="J95" s="239"/>
    </row>
    <row r="96" spans="1:10" s="28" customFormat="1" ht="18" customHeight="1" x14ac:dyDescent="0.3">
      <c r="B96" s="13" t="s">
        <v>106</v>
      </c>
      <c r="C96" s="29">
        <v>36</v>
      </c>
      <c r="D96" s="29">
        <v>49.18</v>
      </c>
      <c r="E96" s="240">
        <f t="shared" si="1"/>
        <v>136.61111111111111</v>
      </c>
      <c r="G96" s="267"/>
      <c r="H96" s="25"/>
      <c r="I96" s="25"/>
      <c r="J96" s="239"/>
    </row>
    <row r="97" spans="1:10" s="28" customFormat="1" ht="18" customHeight="1" x14ac:dyDescent="0.3">
      <c r="B97" s="13" t="s">
        <v>112</v>
      </c>
      <c r="C97" s="29">
        <v>958.32</v>
      </c>
      <c r="D97" s="29">
        <v>974.37</v>
      </c>
      <c r="E97" s="240">
        <f t="shared" si="1"/>
        <v>101.6748059103431</v>
      </c>
      <c r="H97" s="25"/>
      <c r="I97" s="25"/>
      <c r="J97" s="239"/>
    </row>
    <row r="98" spans="1:10" s="28" customFormat="1" ht="18" customHeight="1" x14ac:dyDescent="0.3">
      <c r="B98" s="13" t="s">
        <v>113</v>
      </c>
      <c r="C98" s="29">
        <v>335.49</v>
      </c>
      <c r="D98" s="29">
        <v>354.16</v>
      </c>
      <c r="E98" s="240">
        <f t="shared" si="1"/>
        <v>105.56499448567766</v>
      </c>
      <c r="H98" s="37"/>
      <c r="I98" s="37"/>
    </row>
    <row r="99" spans="1:10" s="28" customFormat="1" ht="18" customHeight="1" x14ac:dyDescent="0.3">
      <c r="B99" s="47" t="s">
        <v>107</v>
      </c>
      <c r="C99" s="27">
        <f>SUM(C100:C103)</f>
        <v>660.04000000000008</v>
      </c>
      <c r="D99" s="27">
        <f>SUM(D100:D103)</f>
        <v>774.79</v>
      </c>
      <c r="E99" s="240">
        <f t="shared" si="1"/>
        <v>117.38530998121324</v>
      </c>
    </row>
    <row r="100" spans="1:10" s="28" customFormat="1" ht="18.75" x14ac:dyDescent="0.3">
      <c r="B100" s="13" t="s">
        <v>108</v>
      </c>
      <c r="C100" s="29">
        <v>33.43</v>
      </c>
      <c r="D100" s="29">
        <v>91.02</v>
      </c>
      <c r="E100" s="240">
        <f t="shared" si="1"/>
        <v>272.27041579419682</v>
      </c>
    </row>
    <row r="101" spans="1:10" s="28" customFormat="1" ht="18.75" x14ac:dyDescent="0.3">
      <c r="B101" s="13" t="s">
        <v>109</v>
      </c>
      <c r="C101" s="29">
        <v>360.26</v>
      </c>
      <c r="D101" s="29">
        <v>377.27</v>
      </c>
      <c r="E101" s="240">
        <f t="shared" si="1"/>
        <v>104.72158996280463</v>
      </c>
    </row>
    <row r="102" spans="1:10" ht="18.75" x14ac:dyDescent="0.3">
      <c r="A102" s="28"/>
      <c r="B102" s="13" t="s">
        <v>110</v>
      </c>
      <c r="C102" s="29">
        <v>205</v>
      </c>
      <c r="D102" s="29">
        <v>247.79</v>
      </c>
      <c r="E102" s="240">
        <f t="shared" si="1"/>
        <v>120.87317073170732</v>
      </c>
      <c r="F102"/>
      <c r="G102"/>
      <c r="H102" s="12"/>
      <c r="I102" s="12"/>
    </row>
    <row r="103" spans="1:10" ht="18.75" x14ac:dyDescent="0.3">
      <c r="A103" s="28"/>
      <c r="B103" s="13" t="s">
        <v>111</v>
      </c>
      <c r="C103" s="29">
        <v>61.35</v>
      </c>
      <c r="D103" s="29">
        <v>58.71</v>
      </c>
      <c r="E103" s="240">
        <f t="shared" si="1"/>
        <v>95.69682151589241</v>
      </c>
      <c r="F103"/>
      <c r="G103"/>
      <c r="I103" s="12"/>
    </row>
    <row r="104" spans="1:10" ht="18" x14ac:dyDescent="0.25">
      <c r="A104"/>
      <c r="B104"/>
      <c r="C104"/>
      <c r="D104"/>
      <c r="E104"/>
      <c r="F104"/>
      <c r="G104"/>
      <c r="H104" s="12"/>
      <c r="I104" s="12"/>
    </row>
    <row r="105" spans="1:10" ht="18" x14ac:dyDescent="0.2">
      <c r="A105"/>
      <c r="B105"/>
      <c r="C105"/>
      <c r="D105"/>
      <c r="E105"/>
      <c r="F105"/>
      <c r="G105"/>
      <c r="H105" s="18"/>
      <c r="I105"/>
    </row>
    <row r="106" spans="1:10" x14ac:dyDescent="0.2">
      <c r="A106"/>
      <c r="B106"/>
      <c r="C106"/>
      <c r="D106"/>
      <c r="E106"/>
      <c r="F106"/>
      <c r="G106"/>
      <c r="H106"/>
      <c r="I106"/>
    </row>
    <row r="107" spans="1:10" x14ac:dyDescent="0.2">
      <c r="A107"/>
      <c r="B107"/>
      <c r="C107"/>
      <c r="D107"/>
      <c r="E107"/>
      <c r="F107"/>
      <c r="G107"/>
      <c r="H107"/>
      <c r="I107"/>
    </row>
    <row r="108" spans="1:10" x14ac:dyDescent="0.2">
      <c r="A108"/>
      <c r="B108"/>
      <c r="C108"/>
      <c r="D108"/>
      <c r="E108"/>
      <c r="F108"/>
      <c r="G108"/>
      <c r="H108"/>
      <c r="I108"/>
    </row>
    <row r="109" spans="1:10" x14ac:dyDescent="0.2">
      <c r="A109"/>
      <c r="B109"/>
      <c r="C109"/>
      <c r="D109"/>
      <c r="E109"/>
      <c r="F109"/>
      <c r="G109"/>
      <c r="H109"/>
      <c r="I109"/>
    </row>
    <row r="110" spans="1:10" x14ac:dyDescent="0.2">
      <c r="A110"/>
      <c r="B110"/>
      <c r="C110"/>
      <c r="D110"/>
      <c r="E110"/>
      <c r="F110"/>
      <c r="G110"/>
      <c r="H110"/>
      <c r="I110"/>
    </row>
    <row r="111" spans="1:10" x14ac:dyDescent="0.2">
      <c r="A111"/>
      <c r="B111"/>
      <c r="C111"/>
      <c r="D111"/>
      <c r="E111"/>
      <c r="F111"/>
      <c r="G111"/>
      <c r="H111"/>
      <c r="I111"/>
    </row>
    <row r="112" spans="1:10" x14ac:dyDescent="0.2">
      <c r="A112"/>
      <c r="B112"/>
      <c r="C112"/>
      <c r="D112"/>
      <c r="E112"/>
      <c r="F112"/>
      <c r="G112"/>
      <c r="H112"/>
      <c r="I112"/>
    </row>
    <row r="113" spans="1:9" x14ac:dyDescent="0.2">
      <c r="A113"/>
      <c r="B113"/>
      <c r="C113"/>
      <c r="D113"/>
      <c r="E113"/>
      <c r="F113"/>
      <c r="G113"/>
      <c r="H113"/>
      <c r="I113"/>
    </row>
    <row r="114" spans="1:9" x14ac:dyDescent="0.2">
      <c r="A114"/>
      <c r="B114"/>
      <c r="C114"/>
      <c r="D114"/>
      <c r="E114"/>
      <c r="F114"/>
      <c r="G114"/>
      <c r="H114"/>
      <c r="I114"/>
    </row>
    <row r="115" spans="1:9" x14ac:dyDescent="0.2">
      <c r="A115"/>
      <c r="B115"/>
      <c r="C115"/>
      <c r="D115"/>
      <c r="E115"/>
      <c r="F115"/>
      <c r="G115"/>
      <c r="H115"/>
      <c r="I115"/>
    </row>
    <row r="116" spans="1:9" x14ac:dyDescent="0.2">
      <c r="A116"/>
      <c r="B116"/>
      <c r="C116"/>
      <c r="D116"/>
      <c r="E116"/>
      <c r="F116"/>
      <c r="G116"/>
      <c r="H116"/>
      <c r="I116"/>
    </row>
    <row r="117" spans="1:9" x14ac:dyDescent="0.2">
      <c r="F117"/>
      <c r="G117"/>
      <c r="H117"/>
      <c r="I117"/>
    </row>
    <row r="118" spans="1:9" x14ac:dyDescent="0.2">
      <c r="F118"/>
      <c r="G118"/>
      <c r="H118"/>
      <c r="I118"/>
    </row>
    <row r="119" spans="1:9" x14ac:dyDescent="0.2">
      <c r="H119"/>
      <c r="I119"/>
    </row>
    <row r="120" spans="1:9" x14ac:dyDescent="0.2">
      <c r="H120"/>
      <c r="I120"/>
    </row>
    <row r="121" spans="1:9" x14ac:dyDescent="0.2">
      <c r="H121"/>
      <c r="I121"/>
    </row>
    <row r="122" spans="1:9" x14ac:dyDescent="0.2">
      <c r="H122"/>
      <c r="I122"/>
    </row>
    <row r="123" spans="1:9" x14ac:dyDescent="0.2">
      <c r="H123"/>
      <c r="I123"/>
    </row>
    <row r="124" spans="1:9" x14ac:dyDescent="0.2">
      <c r="H124"/>
      <c r="I124"/>
    </row>
    <row r="125" spans="1:9" x14ac:dyDescent="0.2">
      <c r="H125"/>
      <c r="I125"/>
    </row>
    <row r="126" spans="1:9" x14ac:dyDescent="0.2">
      <c r="H126"/>
      <c r="I126"/>
    </row>
    <row r="127" spans="1:9" x14ac:dyDescent="0.2">
      <c r="H127"/>
      <c r="I127"/>
    </row>
  </sheetData>
  <mergeCells count="4">
    <mergeCell ref="A1:E1"/>
    <mergeCell ref="K3:L3"/>
    <mergeCell ref="G6:G74"/>
    <mergeCell ref="G94:G96"/>
  </mergeCells>
  <printOptions horizontalCentered="1"/>
  <pageMargins left="0.75" right="0.75" top="1" bottom="1" header="0" footer="0"/>
  <pageSetup paperSize="9" scale="42"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opLeftCell="A4" zoomScale="75" workbookViewId="0">
      <selection activeCell="M13" sqref="M13"/>
    </sheetView>
  </sheetViews>
  <sheetFormatPr baseColWidth="10" defaultRowHeight="12.75" x14ac:dyDescent="0.2"/>
  <cols>
    <col min="1" max="1" width="48.42578125" customWidth="1"/>
    <col min="2" max="2" width="19.85546875" customWidth="1"/>
    <col min="3" max="4" width="18.7109375" customWidth="1"/>
    <col min="5" max="5" width="18.42578125" customWidth="1"/>
    <col min="6" max="8" width="18.7109375" customWidth="1"/>
    <col min="9" max="10" width="15.7109375" customWidth="1"/>
  </cols>
  <sheetData>
    <row r="1" spans="1:12" ht="15.75" customHeight="1" x14ac:dyDescent="0.2"/>
    <row r="2" spans="1:12" ht="15" customHeight="1" x14ac:dyDescent="0.2"/>
    <row r="3" spans="1:12" ht="18.75" x14ac:dyDescent="0.3">
      <c r="A3" s="268" t="s">
        <v>56</v>
      </c>
      <c r="B3" s="268"/>
      <c r="C3" s="268"/>
      <c r="D3" s="268"/>
      <c r="E3" s="268"/>
      <c r="F3" s="268"/>
      <c r="G3" s="268"/>
      <c r="H3" s="29"/>
    </row>
    <row r="4" spans="1:12" ht="18.75" x14ac:dyDescent="0.3">
      <c r="A4" s="29"/>
      <c r="B4" s="29"/>
      <c r="C4" s="29"/>
      <c r="D4" s="29"/>
      <c r="E4" s="29"/>
      <c r="F4" s="29"/>
      <c r="G4" s="29"/>
      <c r="H4" s="29"/>
    </row>
    <row r="6" spans="1:12" ht="18.75" x14ac:dyDescent="0.3">
      <c r="A6" s="28"/>
      <c r="B6" s="27">
        <v>2001</v>
      </c>
      <c r="C6" s="27">
        <v>2002</v>
      </c>
      <c r="D6" s="27">
        <v>2003</v>
      </c>
      <c r="E6" s="27">
        <v>2004</v>
      </c>
      <c r="F6" s="27">
        <v>2005</v>
      </c>
      <c r="G6" s="27">
        <v>2006</v>
      </c>
      <c r="H6" s="27">
        <v>2007</v>
      </c>
      <c r="I6" s="28"/>
      <c r="J6" s="28"/>
      <c r="K6" s="28"/>
      <c r="L6" s="28"/>
    </row>
    <row r="7" spans="1:12" ht="9" customHeight="1" thickBot="1" x14ac:dyDescent="0.35">
      <c r="A7" s="26"/>
      <c r="B7" s="26"/>
      <c r="C7" s="26"/>
      <c r="D7" s="26"/>
      <c r="E7" s="26"/>
      <c r="F7" s="26"/>
      <c r="G7" s="26"/>
      <c r="H7" s="26"/>
      <c r="I7" s="28"/>
      <c r="J7" s="28"/>
      <c r="K7" s="28"/>
      <c r="L7" s="28"/>
    </row>
    <row r="8" spans="1:12" ht="19.5" thickTop="1" x14ac:dyDescent="0.3">
      <c r="A8" s="218" t="s">
        <v>57</v>
      </c>
      <c r="B8" s="219">
        <f>-376475337/166.386</f>
        <v>-2262662.3453896362</v>
      </c>
      <c r="C8" s="219">
        <v>-3519841.72</v>
      </c>
      <c r="D8" s="219">
        <v>-2137559.4900000002</v>
      </c>
      <c r="E8" s="219">
        <v>-854095.87</v>
      </c>
      <c r="F8" s="219">
        <v>-1604956.04</v>
      </c>
      <c r="G8" s="219">
        <v>-2736326.02</v>
      </c>
      <c r="H8" s="219">
        <v>-944292.19</v>
      </c>
      <c r="I8" s="28"/>
      <c r="J8" s="28"/>
      <c r="K8" s="28"/>
      <c r="L8" s="28"/>
    </row>
    <row r="9" spans="1:12" ht="37.5" x14ac:dyDescent="0.3">
      <c r="A9" s="220" t="s">
        <v>58</v>
      </c>
      <c r="B9" s="219">
        <f>-218743478/166.386</f>
        <v>-1314674.7803300759</v>
      </c>
      <c r="C9" s="219">
        <v>-997940.23</v>
      </c>
      <c r="D9" s="219">
        <v>-604297.5</v>
      </c>
      <c r="E9" s="219">
        <v>-4165948.97</v>
      </c>
      <c r="F9" s="219">
        <v>0</v>
      </c>
      <c r="G9" s="219">
        <v>-4985900.3899999997</v>
      </c>
      <c r="H9" s="219">
        <v>-8907706.8699999992</v>
      </c>
      <c r="I9" s="28"/>
      <c r="J9" s="28"/>
      <c r="K9" s="28"/>
      <c r="L9" s="28"/>
    </row>
    <row r="10" spans="1:12" ht="18.75" x14ac:dyDescent="0.3">
      <c r="A10" s="218" t="s">
        <v>59</v>
      </c>
      <c r="B10" s="219">
        <f>2483663354/166.386</f>
        <v>14927117.389684228</v>
      </c>
      <c r="C10" s="219">
        <v>24237.919999999998</v>
      </c>
      <c r="D10" s="219">
        <v>-16900.34</v>
      </c>
      <c r="E10" s="219">
        <v>7459.2</v>
      </c>
      <c r="F10" s="219">
        <v>2879707.96</v>
      </c>
      <c r="G10" s="218"/>
      <c r="H10" s="218"/>
      <c r="I10" s="28"/>
      <c r="J10" s="28"/>
      <c r="K10" s="28"/>
      <c r="L10" s="28"/>
    </row>
    <row r="11" spans="1:12" ht="18.75" x14ac:dyDescent="0.3">
      <c r="A11" s="218" t="s">
        <v>60</v>
      </c>
      <c r="B11" s="219">
        <f>5862161/166.386</f>
        <v>35232.297188465374</v>
      </c>
      <c r="C11" s="219">
        <v>57821.59</v>
      </c>
      <c r="D11" s="219">
        <v>20981.66</v>
      </c>
      <c r="E11" s="219">
        <v>19722.09</v>
      </c>
      <c r="F11" s="219">
        <v>1142015.3500000001</v>
      </c>
      <c r="G11" s="219">
        <v>-262656.17</v>
      </c>
      <c r="H11" s="219">
        <v>-1719897.23</v>
      </c>
      <c r="I11" s="28"/>
      <c r="J11" s="28"/>
      <c r="K11" s="28"/>
      <c r="L11" s="28"/>
    </row>
    <row r="12" spans="1:12" ht="18.75" x14ac:dyDescent="0.3">
      <c r="A12" s="218" t="s">
        <v>61</v>
      </c>
      <c r="B12" s="219">
        <f>2964677/166.386</f>
        <v>17818.067625881984</v>
      </c>
      <c r="C12" s="219">
        <v>15357.94</v>
      </c>
      <c r="D12" s="219">
        <v>78566.34</v>
      </c>
      <c r="E12" s="219">
        <v>10061.790000000001</v>
      </c>
      <c r="F12" s="219">
        <v>484383.74</v>
      </c>
      <c r="G12" s="219">
        <v>8059.3</v>
      </c>
      <c r="H12" s="218">
        <v>331.39</v>
      </c>
      <c r="I12" s="28"/>
      <c r="J12" s="28"/>
      <c r="K12" s="28"/>
      <c r="L12" s="28"/>
    </row>
    <row r="13" spans="1:12" ht="18.75" x14ac:dyDescent="0.3">
      <c r="A13" s="218" t="s">
        <v>62</v>
      </c>
      <c r="B13" s="219">
        <f>-175809720/166.386</f>
        <v>-1056637.6978832353</v>
      </c>
      <c r="C13" s="219">
        <v>-558623.77</v>
      </c>
      <c r="D13" s="219">
        <v>-410196.24</v>
      </c>
      <c r="E13" s="219">
        <v>-198607.69</v>
      </c>
      <c r="F13" s="219">
        <v>-447085.86</v>
      </c>
      <c r="G13" s="219">
        <v>1035741.78</v>
      </c>
      <c r="H13" s="219">
        <v>-250609.25</v>
      </c>
      <c r="I13" s="28"/>
      <c r="J13" s="28"/>
      <c r="K13" s="28"/>
      <c r="L13" s="28"/>
    </row>
    <row r="14" spans="1:12" ht="18.75" x14ac:dyDescent="0.3">
      <c r="A14" s="218" t="s">
        <v>63</v>
      </c>
      <c r="B14" s="219">
        <f>18093138/166.386</f>
        <v>108741.94944286178</v>
      </c>
      <c r="C14" s="219">
        <v>-4704.58</v>
      </c>
      <c r="D14" s="219">
        <v>-150817.14000000001</v>
      </c>
      <c r="E14" s="219">
        <v>56816.04</v>
      </c>
      <c r="F14" s="219">
        <v>175214.5</v>
      </c>
      <c r="G14" s="219">
        <v>349805.39</v>
      </c>
      <c r="H14" s="219">
        <v>-15566.6</v>
      </c>
      <c r="I14" s="28"/>
      <c r="J14" s="28"/>
      <c r="K14" s="28"/>
      <c r="L14" s="28"/>
    </row>
    <row r="15" spans="1:12" ht="18.75" x14ac:dyDescent="0.3">
      <c r="A15" s="218" t="s">
        <v>64</v>
      </c>
      <c r="B15" s="219">
        <f>-180113749/166.386</f>
        <v>-1082505.4331494237</v>
      </c>
      <c r="C15" s="219">
        <v>-7931308.9500000002</v>
      </c>
      <c r="D15" s="219">
        <v>-8401367.3699999992</v>
      </c>
      <c r="E15" s="219">
        <v>-7502357.7699999996</v>
      </c>
      <c r="F15" s="219">
        <v>-4858809.6500000004</v>
      </c>
      <c r="G15" s="219">
        <v>-25132680.300000001</v>
      </c>
      <c r="H15" s="219">
        <v>-17062747.629999999</v>
      </c>
      <c r="I15" s="28"/>
      <c r="J15" s="28"/>
      <c r="K15" s="28"/>
      <c r="L15" s="28"/>
    </row>
    <row r="16" spans="1:12" ht="18.75" x14ac:dyDescent="0.3">
      <c r="A16" s="218" t="s">
        <v>65</v>
      </c>
      <c r="B16" s="219">
        <f>-2282943/166.386</f>
        <v>-13720.763766182252</v>
      </c>
      <c r="C16" s="219">
        <v>-247363.42</v>
      </c>
      <c r="D16" s="219">
        <v>-381967.29</v>
      </c>
      <c r="E16" s="219">
        <v>-1362868.22</v>
      </c>
      <c r="F16" s="219">
        <v>-288701.88</v>
      </c>
      <c r="G16" s="219">
        <v>-333995.59999999998</v>
      </c>
      <c r="H16" s="219">
        <v>-1687840.74</v>
      </c>
      <c r="I16" s="28"/>
      <c r="J16" s="28"/>
      <c r="K16" s="28"/>
      <c r="L16" s="28"/>
    </row>
    <row r="17" spans="1:12" ht="18.75" x14ac:dyDescent="0.3">
      <c r="A17" s="218" t="s">
        <v>66</v>
      </c>
      <c r="B17" s="219">
        <f>-397627498/166.386</f>
        <v>-2389789.3933383818</v>
      </c>
      <c r="C17" s="219">
        <v>-2387276.9300000002</v>
      </c>
      <c r="D17" s="219">
        <v>479017.69</v>
      </c>
      <c r="E17" s="219">
        <v>-2823686.84</v>
      </c>
      <c r="F17" s="219">
        <v>-29199.75</v>
      </c>
      <c r="G17" s="219">
        <v>278072.77</v>
      </c>
      <c r="H17" s="219">
        <v>-2294811.69</v>
      </c>
      <c r="I17" s="28"/>
      <c r="J17" s="28"/>
      <c r="K17" s="28"/>
      <c r="L17" s="28"/>
    </row>
    <row r="18" spans="1:12" ht="18.75" x14ac:dyDescent="0.3">
      <c r="A18" s="218" t="s">
        <v>67</v>
      </c>
      <c r="B18" s="219">
        <v>0</v>
      </c>
      <c r="C18" s="219">
        <v>0</v>
      </c>
      <c r="D18" s="219">
        <v>0</v>
      </c>
      <c r="E18" s="219">
        <v>0</v>
      </c>
      <c r="F18" s="219">
        <v>-655193.98</v>
      </c>
      <c r="G18" s="219">
        <v>-997660.85</v>
      </c>
      <c r="H18" s="219">
        <v>1839016.58</v>
      </c>
      <c r="I18" s="28"/>
      <c r="J18" s="28"/>
      <c r="K18" s="28"/>
      <c r="L18" s="28"/>
    </row>
    <row r="19" spans="1:12" ht="37.5" x14ac:dyDescent="0.3">
      <c r="A19" s="220" t="s">
        <v>68</v>
      </c>
      <c r="B19" s="219">
        <f>45733375/166.386</f>
        <v>274863.11949322658</v>
      </c>
      <c r="C19" s="219">
        <v>-127840.59</v>
      </c>
      <c r="D19" s="219">
        <v>15131.22</v>
      </c>
      <c r="E19" s="219">
        <v>40836.31</v>
      </c>
      <c r="F19" s="219">
        <v>215879.39</v>
      </c>
      <c r="G19" s="218"/>
      <c r="H19" s="218"/>
      <c r="I19" s="28"/>
      <c r="J19" s="28"/>
      <c r="K19" s="28"/>
      <c r="L19" s="28"/>
    </row>
    <row r="20" spans="1:12" ht="18.75" x14ac:dyDescent="0.3">
      <c r="A20" s="218" t="s">
        <v>69</v>
      </c>
      <c r="B20" s="219"/>
      <c r="C20" s="219">
        <v>235146.43</v>
      </c>
      <c r="D20" s="219">
        <v>12434.03</v>
      </c>
      <c r="E20" s="219">
        <v>14722.77</v>
      </c>
      <c r="F20" s="219">
        <v>242326.34</v>
      </c>
      <c r="G20" s="219">
        <v>34712.11</v>
      </c>
      <c r="H20" s="219">
        <v>15712.08</v>
      </c>
      <c r="I20" s="28"/>
      <c r="J20" s="28"/>
      <c r="K20" s="28"/>
      <c r="L20" s="28"/>
    </row>
    <row r="21" spans="1:12" ht="18.75" x14ac:dyDescent="0.3">
      <c r="A21" s="218" t="s">
        <v>70</v>
      </c>
      <c r="B21" s="219">
        <f>-237307/166.386</f>
        <v>-1426.2437945500224</v>
      </c>
      <c r="C21" s="219">
        <v>-106884.31</v>
      </c>
      <c r="D21" s="219">
        <v>-75699.399999999994</v>
      </c>
      <c r="E21" s="219">
        <v>98007.81</v>
      </c>
      <c r="F21" s="219">
        <v>-131974.07999999999</v>
      </c>
      <c r="G21" s="219">
        <v>76881.850000000006</v>
      </c>
      <c r="H21" s="219">
        <v>93971.74</v>
      </c>
      <c r="I21" s="28"/>
      <c r="J21" s="28"/>
      <c r="K21" s="28"/>
      <c r="L21" s="28"/>
    </row>
    <row r="22" spans="1:12" ht="18.75" x14ac:dyDescent="0.3">
      <c r="A22" s="218" t="s">
        <v>71</v>
      </c>
      <c r="B22" s="219">
        <f>4.45</f>
        <v>4.45</v>
      </c>
      <c r="C22" s="219">
        <v>10047.780000000001</v>
      </c>
      <c r="D22" s="219">
        <v>5336.11</v>
      </c>
      <c r="E22" s="221" t="s">
        <v>72</v>
      </c>
      <c r="F22" s="219"/>
      <c r="G22" s="218"/>
      <c r="H22" s="218"/>
      <c r="I22" s="28"/>
      <c r="J22" s="28"/>
      <c r="K22" s="28"/>
      <c r="L22" s="28"/>
    </row>
    <row r="23" spans="1:12" ht="18.75" x14ac:dyDescent="0.3">
      <c r="A23" s="218" t="s">
        <v>73</v>
      </c>
      <c r="B23" s="219"/>
      <c r="C23" s="222" t="s">
        <v>72</v>
      </c>
      <c r="D23" s="222" t="s">
        <v>72</v>
      </c>
      <c r="E23" s="219">
        <v>-154049.46</v>
      </c>
      <c r="F23" s="219">
        <v>59992.04</v>
      </c>
      <c r="G23" s="219">
        <v>-252081.86</v>
      </c>
      <c r="H23" s="219">
        <v>-102714.26</v>
      </c>
      <c r="I23" s="28"/>
      <c r="J23" s="28"/>
      <c r="K23" s="28"/>
      <c r="L23" s="28"/>
    </row>
    <row r="24" spans="1:12" ht="19.5" thickBot="1" x14ac:dyDescent="0.35">
      <c r="A24" s="218" t="s">
        <v>74</v>
      </c>
      <c r="B24" s="219"/>
      <c r="C24" s="222" t="s">
        <v>72</v>
      </c>
      <c r="D24" s="222" t="s">
        <v>72</v>
      </c>
      <c r="E24" s="219">
        <v>5834.5</v>
      </c>
      <c r="F24" s="219">
        <v>2630.82</v>
      </c>
      <c r="G24" s="223">
        <v>15009.26</v>
      </c>
      <c r="H24" s="224">
        <v>-987211.85</v>
      </c>
      <c r="I24" s="28"/>
      <c r="J24" s="28"/>
      <c r="K24" s="28"/>
      <c r="L24" s="28"/>
    </row>
    <row r="25" spans="1:12" ht="19.5" thickTop="1" x14ac:dyDescent="0.3">
      <c r="A25" s="218" t="s">
        <v>75</v>
      </c>
      <c r="B25" s="219"/>
      <c r="C25" s="222" t="s">
        <v>72</v>
      </c>
      <c r="D25" s="222" t="s">
        <v>72</v>
      </c>
      <c r="E25" s="219">
        <v>-879192.14</v>
      </c>
      <c r="F25" s="219">
        <v>-28811551.039999999</v>
      </c>
      <c r="G25" s="219">
        <v>-56750050.57</v>
      </c>
      <c r="H25" s="219">
        <v>-74461872.579999998</v>
      </c>
      <c r="I25" s="28"/>
      <c r="J25" s="28"/>
      <c r="K25" s="28"/>
      <c r="L25" s="28"/>
    </row>
    <row r="26" spans="1:12" ht="18.75" x14ac:dyDescent="0.3">
      <c r="A26" s="218" t="s">
        <v>76</v>
      </c>
      <c r="B26" s="219"/>
      <c r="C26" s="222" t="s">
        <v>72</v>
      </c>
      <c r="D26" s="222" t="s">
        <v>72</v>
      </c>
      <c r="E26" s="219">
        <v>-166984.79</v>
      </c>
      <c r="F26" s="219">
        <v>-3761000.32</v>
      </c>
      <c r="G26" s="219">
        <v>-4771444.4400000004</v>
      </c>
      <c r="H26" s="219">
        <v>-5281900.29</v>
      </c>
      <c r="I26" s="28"/>
      <c r="J26" s="28"/>
      <c r="K26" s="28"/>
      <c r="L26" s="28"/>
    </row>
    <row r="27" spans="1:12" ht="18.75" x14ac:dyDescent="0.3">
      <c r="A27" s="218" t="s">
        <v>77</v>
      </c>
      <c r="B27" s="219"/>
      <c r="C27" s="222" t="s">
        <v>72</v>
      </c>
      <c r="D27" s="222" t="s">
        <v>72</v>
      </c>
      <c r="E27" s="219">
        <v>282413.44</v>
      </c>
      <c r="F27" s="219">
        <v>-26430131.449999999</v>
      </c>
      <c r="G27" s="219">
        <v>-36140997.890000001</v>
      </c>
      <c r="H27" s="219">
        <v>-54658924.280000001</v>
      </c>
      <c r="I27" s="28"/>
      <c r="J27" s="28"/>
      <c r="K27" s="28"/>
      <c r="L27" s="28"/>
    </row>
    <row r="28" spans="1:12" ht="18.75" x14ac:dyDescent="0.3">
      <c r="A28" s="218" t="s">
        <v>78</v>
      </c>
      <c r="B28" s="219"/>
      <c r="C28" s="222" t="s">
        <v>72</v>
      </c>
      <c r="D28" s="222" t="s">
        <v>72</v>
      </c>
      <c r="E28" s="219">
        <v>-5639071.8200000003</v>
      </c>
      <c r="F28" s="219">
        <v>-19355425.52</v>
      </c>
      <c r="G28" s="219">
        <v>-44109667.420000002</v>
      </c>
      <c r="H28" s="219">
        <v>-28815559.039999999</v>
      </c>
      <c r="I28" s="28"/>
      <c r="J28" s="28"/>
      <c r="K28" s="28"/>
      <c r="L28" s="28"/>
    </row>
    <row r="29" spans="1:12" ht="18.75" x14ac:dyDescent="0.3">
      <c r="A29" s="218" t="s">
        <v>79</v>
      </c>
      <c r="B29" s="219"/>
      <c r="C29" s="222" t="s">
        <v>72</v>
      </c>
      <c r="D29" s="222" t="s">
        <v>72</v>
      </c>
      <c r="E29" s="219">
        <v>-234748.69</v>
      </c>
      <c r="F29" s="219">
        <v>-338373.26</v>
      </c>
      <c r="G29" s="218"/>
      <c r="H29" s="218"/>
      <c r="I29" s="28"/>
      <c r="J29" s="28"/>
      <c r="K29" s="28"/>
      <c r="L29" s="28"/>
    </row>
    <row r="30" spans="1:12" ht="18.75" x14ac:dyDescent="0.3">
      <c r="A30" s="218" t="s">
        <v>80</v>
      </c>
      <c r="B30" s="219"/>
      <c r="C30" s="222"/>
      <c r="D30" s="222"/>
      <c r="E30" s="219"/>
      <c r="F30" s="219">
        <v>3489.39</v>
      </c>
      <c r="G30" s="219">
        <v>-1074092.8999999999</v>
      </c>
      <c r="H30" s="219">
        <v>-1659137.99</v>
      </c>
      <c r="I30" s="28"/>
      <c r="J30" s="28"/>
      <c r="K30" s="28"/>
      <c r="L30" s="28"/>
    </row>
    <row r="31" spans="1:12" ht="18.75" x14ac:dyDescent="0.3">
      <c r="A31" s="225" t="s">
        <v>81</v>
      </c>
      <c r="B31" s="226"/>
      <c r="C31" s="227"/>
      <c r="D31" s="227"/>
      <c r="E31" s="226"/>
      <c r="F31" s="226">
        <v>350.06</v>
      </c>
      <c r="G31" s="226">
        <v>-161918.62</v>
      </c>
      <c r="H31" s="219">
        <v>-19378.12</v>
      </c>
      <c r="I31" s="28"/>
      <c r="J31" s="28"/>
      <c r="K31" s="28"/>
      <c r="L31" s="28"/>
    </row>
    <row r="32" spans="1:12" ht="18.75" x14ac:dyDescent="0.3">
      <c r="A32" s="218" t="s">
        <v>82</v>
      </c>
      <c r="B32" s="219"/>
      <c r="C32" s="222"/>
      <c r="D32" s="222"/>
      <c r="E32" s="219"/>
      <c r="F32" s="219"/>
      <c r="G32" s="219">
        <v>-2040329.87</v>
      </c>
      <c r="H32" s="219">
        <v>-330103.39</v>
      </c>
      <c r="I32" s="28"/>
      <c r="J32" s="28"/>
      <c r="K32" s="28"/>
      <c r="L32" s="28"/>
    </row>
    <row r="33" spans="1:12" ht="18.75" x14ac:dyDescent="0.3">
      <c r="A33" s="218" t="s">
        <v>83</v>
      </c>
      <c r="B33" s="219"/>
      <c r="C33" s="222"/>
      <c r="D33" s="222"/>
      <c r="E33" s="219"/>
      <c r="F33" s="219"/>
      <c r="G33" s="219">
        <v>10524.04</v>
      </c>
      <c r="H33" s="219">
        <v>20846.64</v>
      </c>
      <c r="I33" s="28"/>
      <c r="J33" s="28"/>
      <c r="K33" s="28"/>
      <c r="L33" s="28"/>
    </row>
    <row r="34" spans="1:12" ht="18.75" x14ac:dyDescent="0.3">
      <c r="A34" s="218" t="s">
        <v>84</v>
      </c>
      <c r="B34" s="219"/>
      <c r="C34" s="222"/>
      <c r="D34" s="222"/>
      <c r="E34" s="219"/>
      <c r="F34" s="219"/>
      <c r="G34" s="219"/>
      <c r="H34" s="219">
        <v>-51527.09</v>
      </c>
      <c r="I34" s="28"/>
      <c r="J34" s="28"/>
      <c r="K34" s="28"/>
      <c r="L34" s="28"/>
    </row>
    <row r="35" spans="1:12" ht="18.75" x14ac:dyDescent="0.3">
      <c r="A35" s="218" t="s">
        <v>85</v>
      </c>
      <c r="B35" s="219"/>
      <c r="C35" s="222"/>
      <c r="D35" s="222"/>
      <c r="E35" s="219"/>
      <c r="F35" s="219"/>
      <c r="G35" s="219">
        <v>354.26</v>
      </c>
      <c r="H35" s="219">
        <v>957.46</v>
      </c>
      <c r="I35" s="28"/>
      <c r="J35" s="28"/>
      <c r="K35" s="28"/>
      <c r="L35" s="28"/>
    </row>
    <row r="36" spans="1:12" ht="18.75" x14ac:dyDescent="0.3">
      <c r="A36" s="218" t="s">
        <v>86</v>
      </c>
      <c r="B36" s="219"/>
      <c r="C36" s="222"/>
      <c r="D36" s="222"/>
      <c r="E36" s="219"/>
      <c r="F36" s="219"/>
      <c r="G36" s="219"/>
      <c r="H36" s="219">
        <v>0</v>
      </c>
      <c r="I36" s="28"/>
      <c r="J36" s="28"/>
      <c r="K36" s="28"/>
      <c r="L36" s="28"/>
    </row>
    <row r="37" spans="1:12" ht="18.75" x14ac:dyDescent="0.3">
      <c r="A37" s="218" t="s">
        <v>87</v>
      </c>
      <c r="B37" s="219"/>
      <c r="C37" s="222"/>
      <c r="D37" s="222"/>
      <c r="E37" s="219"/>
      <c r="F37" s="219"/>
      <c r="G37" s="219">
        <v>-1294911.93</v>
      </c>
      <c r="H37" s="219">
        <v>-1804690.95</v>
      </c>
      <c r="I37" s="28"/>
      <c r="J37" s="28"/>
      <c r="K37" s="28"/>
      <c r="L37" s="28"/>
    </row>
    <row r="38" spans="1:12" ht="18.75" x14ac:dyDescent="0.3">
      <c r="A38" s="218" t="s">
        <v>88</v>
      </c>
      <c r="B38" s="219"/>
      <c r="C38" s="222"/>
      <c r="D38" s="222"/>
      <c r="E38" s="219"/>
      <c r="F38" s="219"/>
      <c r="G38" s="219">
        <v>-508.56</v>
      </c>
      <c r="H38" s="219">
        <v>-3427062.95</v>
      </c>
      <c r="I38" s="28"/>
      <c r="J38" s="28"/>
      <c r="K38" s="28"/>
      <c r="L38" s="28"/>
    </row>
    <row r="39" spans="1:12" ht="19.5" thickBot="1" x14ac:dyDescent="0.35">
      <c r="A39" s="228" t="s">
        <v>89</v>
      </c>
      <c r="B39" s="229"/>
      <c r="C39" s="230"/>
      <c r="D39" s="230"/>
      <c r="E39" s="229"/>
      <c r="F39" s="229"/>
      <c r="G39" s="229">
        <v>-17610.650000000001</v>
      </c>
      <c r="H39" s="226">
        <v>5370.02</v>
      </c>
      <c r="I39" s="28"/>
      <c r="J39" s="28"/>
      <c r="K39" s="28"/>
      <c r="L39" s="28"/>
    </row>
    <row r="40" spans="1:12" ht="36" customHeight="1" thickTop="1" thickBot="1" x14ac:dyDescent="0.35">
      <c r="A40" s="231" t="s">
        <v>4</v>
      </c>
      <c r="B40" s="232">
        <f>SUM(B8:B31)/1000000</f>
        <v>7.2423606157831761</v>
      </c>
      <c r="C40" s="232">
        <f>SUM(C8:C31)/1000000</f>
        <v>-15.539172840000001</v>
      </c>
      <c r="D40" s="232">
        <f>SUM(D8:D31)/1000000</f>
        <v>-11.567337720000001</v>
      </c>
      <c r="E40" s="232">
        <f>SUM(E8:E31)/1000000</f>
        <v>-23.445738310000003</v>
      </c>
      <c r="F40" s="232">
        <f>SUM(F8:F31)/1000000</f>
        <v>-81.506413240000001</v>
      </c>
      <c r="G40" s="232">
        <f>SUM(G8:G39)/1000000</f>
        <v>-179.25367328000007</v>
      </c>
      <c r="H40" s="232">
        <f>SUM(H8:H39)/1000000</f>
        <v>-202.50734907999998</v>
      </c>
      <c r="I40" s="28"/>
      <c r="J40" s="28"/>
      <c r="K40" s="28"/>
      <c r="L40" s="28"/>
    </row>
    <row r="41" spans="1:12" ht="19.5" thickTop="1" x14ac:dyDescent="0.3">
      <c r="B41" s="28"/>
      <c r="C41" s="28"/>
      <c r="D41" s="28"/>
      <c r="E41" s="233"/>
      <c r="F41" s="28"/>
      <c r="G41" s="28"/>
      <c r="H41" s="28"/>
      <c r="I41" s="28"/>
      <c r="J41" s="28"/>
      <c r="K41" s="28"/>
      <c r="L41" s="28"/>
    </row>
    <row r="42" spans="1:12" ht="18.75" x14ac:dyDescent="0.3">
      <c r="A42" s="28"/>
      <c r="B42" s="28"/>
      <c r="C42" s="28"/>
      <c r="D42" s="28"/>
      <c r="E42" s="233"/>
      <c r="F42" s="28"/>
      <c r="G42" s="28"/>
      <c r="H42" s="28"/>
      <c r="I42" s="28"/>
      <c r="J42" s="28"/>
      <c r="K42" s="28"/>
      <c r="L42" s="28"/>
    </row>
    <row r="43" spans="1:12" ht="18.75" x14ac:dyDescent="0.3">
      <c r="A43" s="28"/>
      <c r="B43" s="28"/>
      <c r="C43" s="28"/>
      <c r="D43" s="28"/>
      <c r="E43" s="28"/>
      <c r="F43" s="28"/>
      <c r="G43" s="28"/>
      <c r="H43" s="28"/>
      <c r="I43" s="28"/>
      <c r="J43" s="28"/>
      <c r="K43" s="28"/>
      <c r="L43" s="28"/>
    </row>
    <row r="44" spans="1:12" ht="18.75" x14ac:dyDescent="0.3">
      <c r="A44" s="28"/>
      <c r="B44" s="28"/>
      <c r="C44" s="28"/>
      <c r="D44" s="28"/>
      <c r="E44" s="28"/>
      <c r="F44" s="28"/>
      <c r="G44" s="28"/>
      <c r="H44" s="28"/>
      <c r="I44" s="28"/>
      <c r="J44" s="28"/>
      <c r="K44" s="28"/>
      <c r="L44" s="28"/>
    </row>
    <row r="45" spans="1:12" ht="18.75" x14ac:dyDescent="0.3">
      <c r="A45" s="28"/>
      <c r="B45" s="28"/>
      <c r="C45" s="28"/>
      <c r="D45" s="28"/>
      <c r="E45" s="28"/>
      <c r="F45" s="28"/>
      <c r="G45" s="28"/>
      <c r="H45" s="28"/>
      <c r="I45" s="28"/>
      <c r="J45" s="28"/>
      <c r="K45" s="28"/>
      <c r="L45" s="28"/>
    </row>
    <row r="46" spans="1:12" ht="18.75" x14ac:dyDescent="0.3">
      <c r="A46" s="28"/>
      <c r="B46" s="28"/>
      <c r="C46" s="28"/>
      <c r="D46" s="28"/>
      <c r="E46" s="28"/>
      <c r="F46" s="28"/>
      <c r="G46" s="28"/>
      <c r="H46" s="28"/>
      <c r="I46" s="28"/>
      <c r="J46" s="28"/>
      <c r="K46" s="28"/>
      <c r="L46" s="28"/>
    </row>
    <row r="47" spans="1:12" ht="18.75" x14ac:dyDescent="0.3">
      <c r="A47" s="28"/>
      <c r="B47" s="28"/>
      <c r="C47" s="28"/>
      <c r="D47" s="28"/>
      <c r="E47" s="28"/>
      <c r="F47" s="28"/>
      <c r="G47" s="28"/>
      <c r="H47" s="28"/>
      <c r="I47" s="28"/>
      <c r="J47" s="28"/>
      <c r="K47" s="28"/>
      <c r="L47" s="28"/>
    </row>
    <row r="48" spans="1:12" ht="18.75" x14ac:dyDescent="0.3">
      <c r="A48" s="28"/>
      <c r="B48" s="28"/>
      <c r="C48" s="28"/>
      <c r="D48" s="28"/>
      <c r="E48" s="28"/>
      <c r="F48" s="28"/>
      <c r="G48" s="28"/>
      <c r="H48" s="28"/>
      <c r="I48" s="28"/>
      <c r="J48" s="28"/>
      <c r="K48" s="28"/>
      <c r="L48" s="28"/>
    </row>
    <row r="49" spans="1:12" ht="18.75" x14ac:dyDescent="0.3">
      <c r="A49" s="28"/>
      <c r="B49" s="28"/>
      <c r="C49" s="28"/>
      <c r="D49" s="28"/>
      <c r="E49" s="28"/>
      <c r="F49" s="28"/>
      <c r="G49" s="28"/>
      <c r="H49" s="28"/>
      <c r="I49" s="28"/>
      <c r="J49" s="28"/>
      <c r="K49" s="28"/>
      <c r="L49" s="28"/>
    </row>
    <row r="50" spans="1:12" ht="18.75" x14ac:dyDescent="0.3">
      <c r="A50" s="28"/>
      <c r="B50" s="28"/>
      <c r="C50" s="28"/>
      <c r="D50" s="28"/>
      <c r="E50" s="28"/>
      <c r="F50" s="28"/>
      <c r="G50" s="28"/>
      <c r="H50" s="28"/>
      <c r="I50" s="28"/>
      <c r="J50" s="28"/>
      <c r="K50" s="28"/>
      <c r="L50" s="28"/>
    </row>
    <row r="51" spans="1:12" ht="18.75" x14ac:dyDescent="0.3">
      <c r="A51" s="28"/>
      <c r="B51" s="28"/>
      <c r="C51" s="28"/>
      <c r="D51" s="28"/>
      <c r="E51" s="28"/>
      <c r="F51" s="28"/>
      <c r="G51" s="28"/>
      <c r="H51" s="28"/>
      <c r="I51" s="28"/>
      <c r="J51" s="28"/>
      <c r="K51" s="28"/>
      <c r="L51" s="28"/>
    </row>
    <row r="52" spans="1:12" ht="18.75" x14ac:dyDescent="0.3">
      <c r="A52" s="28"/>
      <c r="B52" s="28"/>
      <c r="C52" s="28"/>
      <c r="D52" s="28"/>
      <c r="E52" s="28"/>
      <c r="F52" s="28"/>
      <c r="G52" s="28"/>
      <c r="H52" s="28"/>
      <c r="I52" s="28"/>
      <c r="J52" s="28"/>
      <c r="K52" s="28"/>
      <c r="L52" s="28"/>
    </row>
  </sheetData>
  <mergeCells count="1">
    <mergeCell ref="A3:G3"/>
  </mergeCells>
  <pageMargins left="0.75" right="0.75" top="1" bottom="1" header="0" footer="0"/>
  <pageSetup paperSize="9" scale="5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C1" workbookViewId="0">
      <selection activeCell="M13" sqref="M13"/>
    </sheetView>
  </sheetViews>
  <sheetFormatPr baseColWidth="10" defaultRowHeight="12.75" x14ac:dyDescent="0.2"/>
  <cols>
    <col min="1" max="1" width="37.7109375" customWidth="1"/>
    <col min="2" max="2" width="14.140625" customWidth="1"/>
    <col min="3" max="3" width="13.42578125" customWidth="1"/>
    <col min="4" max="4" width="13.7109375" customWidth="1"/>
    <col min="5" max="6" width="13.28515625" bestFit="1" customWidth="1"/>
    <col min="7" max="7" width="14.28515625" customWidth="1"/>
    <col min="8" max="9" width="13.28515625" bestFit="1" customWidth="1"/>
    <col min="10" max="10" width="14.28515625" bestFit="1" customWidth="1"/>
  </cols>
  <sheetData>
    <row r="1" spans="1:10" x14ac:dyDescent="0.2">
      <c r="A1" t="s">
        <v>90</v>
      </c>
      <c r="G1" s="14"/>
    </row>
    <row r="2" spans="1:10" x14ac:dyDescent="0.2">
      <c r="B2">
        <v>1999</v>
      </c>
      <c r="C2">
        <v>2000</v>
      </c>
      <c r="D2">
        <v>2001</v>
      </c>
      <c r="E2">
        <v>2002</v>
      </c>
      <c r="F2">
        <v>2003</v>
      </c>
      <c r="G2" s="234">
        <v>2004</v>
      </c>
      <c r="H2">
        <v>2005</v>
      </c>
      <c r="I2">
        <v>2006</v>
      </c>
      <c r="J2">
        <v>2007</v>
      </c>
    </row>
    <row r="3" spans="1:10" x14ac:dyDescent="0.2">
      <c r="A3" t="s">
        <v>57</v>
      </c>
      <c r="B3" s="65">
        <v>4237914537</v>
      </c>
      <c r="C3" s="65">
        <v>3978890546</v>
      </c>
      <c r="D3" s="65">
        <v>3602415209</v>
      </c>
      <c r="E3" s="14">
        <v>18131109.579999998</v>
      </c>
      <c r="F3" s="14">
        <v>15993550.09</v>
      </c>
      <c r="G3" s="14">
        <v>15139454.23</v>
      </c>
      <c r="H3" s="14">
        <v>13534498.189999999</v>
      </c>
      <c r="I3" s="14">
        <v>10798172.17</v>
      </c>
      <c r="J3" s="14">
        <v>9853879.4600000009</v>
      </c>
    </row>
    <row r="4" spans="1:10" x14ac:dyDescent="0.2">
      <c r="A4" t="s">
        <v>91</v>
      </c>
      <c r="B4" s="65">
        <v>-264451784</v>
      </c>
      <c r="C4" s="65">
        <v>-458662014</v>
      </c>
      <c r="D4" s="65">
        <v>-677405492</v>
      </c>
      <c r="E4" s="14">
        <v>-5128713.24</v>
      </c>
      <c r="F4" s="14">
        <v>-5733010.7400000002</v>
      </c>
      <c r="G4" s="14">
        <v>-9813318.2100000009</v>
      </c>
      <c r="H4" s="14">
        <v>-8206734.5199999996</v>
      </c>
      <c r="I4" s="14">
        <v>-13192634.91</v>
      </c>
      <c r="J4" s="14">
        <v>-22100341.780000001</v>
      </c>
    </row>
    <row r="5" spans="1:10" x14ac:dyDescent="0.2">
      <c r="A5" t="s">
        <v>59</v>
      </c>
      <c r="B5" s="65">
        <v>-2668869496</v>
      </c>
      <c r="C5" s="65">
        <v>-3074288814</v>
      </c>
      <c r="D5" s="65">
        <v>-590625460</v>
      </c>
      <c r="E5" s="14">
        <v>-3525492.58</v>
      </c>
      <c r="F5" s="14">
        <v>-3542392.92</v>
      </c>
      <c r="G5" s="14">
        <v>-3534933.72</v>
      </c>
      <c r="H5" s="14">
        <v>-655225.76</v>
      </c>
    </row>
    <row r="6" spans="1:10" x14ac:dyDescent="0.2">
      <c r="A6" t="s">
        <v>60</v>
      </c>
      <c r="B6" s="65">
        <v>-74965298</v>
      </c>
      <c r="C6" s="65">
        <v>-204938119</v>
      </c>
      <c r="D6" s="65">
        <v>-199075958</v>
      </c>
      <c r="E6" s="14">
        <v>-1138647.56</v>
      </c>
      <c r="F6" s="14">
        <v>-1117665.8999999999</v>
      </c>
      <c r="G6" s="14">
        <v>-1097943.81</v>
      </c>
      <c r="H6" s="14">
        <v>44071.54</v>
      </c>
      <c r="I6" s="14">
        <v>-218584.63</v>
      </c>
      <c r="J6" s="14">
        <v>-1938481.86</v>
      </c>
    </row>
    <row r="7" spans="1:10" x14ac:dyDescent="0.2">
      <c r="A7" t="s">
        <v>61</v>
      </c>
      <c r="B7" s="65">
        <v>62724638</v>
      </c>
      <c r="C7" s="65">
        <v>25137282</v>
      </c>
      <c r="D7" s="65">
        <v>28101959</v>
      </c>
      <c r="E7" s="14">
        <v>184255.49</v>
      </c>
      <c r="F7" s="14">
        <v>262821.83</v>
      </c>
      <c r="G7" s="14">
        <v>272883.62</v>
      </c>
      <c r="H7" s="14">
        <v>757267.36</v>
      </c>
      <c r="I7" s="14">
        <v>765324.32</v>
      </c>
      <c r="J7" s="14">
        <v>765655.71</v>
      </c>
    </row>
    <row r="8" spans="1:10" x14ac:dyDescent="0.2">
      <c r="A8" t="s">
        <v>62</v>
      </c>
      <c r="B8" s="65"/>
      <c r="C8" s="65">
        <v>19167541</v>
      </c>
      <c r="D8" s="65">
        <v>-156642179</v>
      </c>
      <c r="E8" s="14">
        <v>-1500061.61</v>
      </c>
      <c r="F8" s="14">
        <v>-1910257.85</v>
      </c>
      <c r="G8" s="14">
        <v>-1287864.99</v>
      </c>
      <c r="H8" s="14">
        <v>-552535.56999999995</v>
      </c>
      <c r="I8" s="14">
        <v>1451124.21</v>
      </c>
      <c r="J8" s="14">
        <v>1200514.96</v>
      </c>
    </row>
    <row r="9" spans="1:10" x14ac:dyDescent="0.2">
      <c r="A9" t="s">
        <v>63</v>
      </c>
      <c r="B9" s="65">
        <v>-34143906</v>
      </c>
      <c r="C9" s="65">
        <v>103428909</v>
      </c>
      <c r="D9" s="65">
        <v>121522047</v>
      </c>
      <c r="E9" s="14">
        <v>725657.45</v>
      </c>
      <c r="F9" s="14">
        <v>574840.39</v>
      </c>
      <c r="G9" s="14">
        <v>631656.42000000004</v>
      </c>
      <c r="H9" s="14">
        <v>806870.92</v>
      </c>
      <c r="I9" s="14">
        <v>1156676.31</v>
      </c>
      <c r="J9" s="14">
        <v>1141109.71</v>
      </c>
    </row>
    <row r="10" spans="1:10" x14ac:dyDescent="0.2">
      <c r="A10" t="s">
        <v>64</v>
      </c>
      <c r="B10" s="65">
        <v>-201761139</v>
      </c>
      <c r="C10" s="65">
        <v>-391239413</v>
      </c>
      <c r="D10" s="65">
        <v>-571353162</v>
      </c>
      <c r="E10" s="14">
        <v>-11365210.609999999</v>
      </c>
      <c r="F10" s="14">
        <v>-19766577.98</v>
      </c>
      <c r="G10" s="14">
        <v>-27268935.75</v>
      </c>
      <c r="H10" s="14">
        <v>-32127745.399999999</v>
      </c>
      <c r="I10" s="14">
        <v>-57260425.700000003</v>
      </c>
      <c r="J10" s="14">
        <v>-74323173.329999998</v>
      </c>
    </row>
    <row r="11" spans="1:10" x14ac:dyDescent="0.2">
      <c r="A11" t="s">
        <v>65</v>
      </c>
      <c r="B11" s="65">
        <v>8987650</v>
      </c>
      <c r="C11" s="65">
        <v>81926069</v>
      </c>
      <c r="D11" s="65">
        <v>79643126</v>
      </c>
      <c r="E11" s="14">
        <v>231301.46</v>
      </c>
      <c r="F11" s="14">
        <v>110418.3</v>
      </c>
      <c r="G11" s="14">
        <v>-983675.13</v>
      </c>
      <c r="H11" s="14">
        <v>-9184.51</v>
      </c>
      <c r="I11" s="14">
        <v>157688.10999999999</v>
      </c>
      <c r="J11" s="14">
        <v>-1195455.1499999999</v>
      </c>
    </row>
    <row r="12" spans="1:10" x14ac:dyDescent="0.2">
      <c r="A12" t="s">
        <v>66</v>
      </c>
      <c r="B12" s="65">
        <v>-281219593</v>
      </c>
      <c r="C12" s="65">
        <v>-597274058</v>
      </c>
      <c r="D12" s="65">
        <v>-288901557</v>
      </c>
      <c r="E12" s="14">
        <v>-2573610.35</v>
      </c>
      <c r="F12" s="14">
        <v>-2094592.66</v>
      </c>
      <c r="G12" s="14">
        <v>-4918279.5</v>
      </c>
      <c r="H12" s="14">
        <v>-4947479.25</v>
      </c>
      <c r="I12" s="14">
        <v>-4669406.4800000004</v>
      </c>
      <c r="J12" s="14">
        <v>-6964218.1699999999</v>
      </c>
    </row>
    <row r="13" spans="1:10" x14ac:dyDescent="0.2">
      <c r="A13" t="s">
        <v>67</v>
      </c>
      <c r="B13" s="65">
        <v>2156502050</v>
      </c>
      <c r="C13" s="65">
        <v>2156502050</v>
      </c>
      <c r="D13" s="65">
        <v>2156502050</v>
      </c>
      <c r="E13" s="14">
        <v>12960838.359999999</v>
      </c>
      <c r="F13" s="14">
        <v>12960838.359999999</v>
      </c>
      <c r="G13" s="14">
        <v>12960838.359999999</v>
      </c>
      <c r="H13" s="14">
        <v>12305644.380000001</v>
      </c>
      <c r="I13" s="14">
        <v>11307983.529999999</v>
      </c>
      <c r="J13" s="14">
        <v>13147000.1</v>
      </c>
    </row>
    <row r="14" spans="1:10" x14ac:dyDescent="0.2">
      <c r="A14" t="s">
        <v>92</v>
      </c>
      <c r="B14" s="65">
        <v>-50101321</v>
      </c>
      <c r="C14" s="65">
        <v>-45733375</v>
      </c>
      <c r="D14" s="65">
        <v>0</v>
      </c>
      <c r="E14" s="14">
        <v>-127840.59</v>
      </c>
      <c r="F14" s="14">
        <v>-112709.37</v>
      </c>
      <c r="G14" s="14">
        <v>-71873.06</v>
      </c>
      <c r="H14" s="14">
        <v>144006.32999999999</v>
      </c>
    </row>
    <row r="15" spans="1:10" x14ac:dyDescent="0.2">
      <c r="A15" t="s">
        <v>93</v>
      </c>
      <c r="B15" s="65">
        <v>40469399</v>
      </c>
      <c r="C15" s="65"/>
      <c r="D15" s="65"/>
      <c r="E15" s="14"/>
      <c r="F15" s="14"/>
      <c r="G15" s="14"/>
      <c r="H15" s="14"/>
    </row>
    <row r="16" spans="1:10" x14ac:dyDescent="0.2">
      <c r="A16" t="s">
        <v>94</v>
      </c>
      <c r="B16" s="65">
        <v>9184020</v>
      </c>
      <c r="C16" s="65">
        <v>9184020</v>
      </c>
      <c r="D16" s="65"/>
      <c r="E16" s="14"/>
      <c r="F16" s="14"/>
      <c r="G16" s="14"/>
      <c r="H16" s="14"/>
    </row>
    <row r="17" spans="1:10" x14ac:dyDescent="0.2">
      <c r="A17" t="s">
        <v>69</v>
      </c>
      <c r="B17" s="65"/>
      <c r="C17" s="65"/>
      <c r="D17" s="65"/>
      <c r="E17" s="14">
        <v>1575167</v>
      </c>
      <c r="F17" s="14">
        <v>1587601.03</v>
      </c>
      <c r="G17" s="14">
        <v>1602323.8</v>
      </c>
      <c r="H17" s="14">
        <v>899250.14</v>
      </c>
      <c r="I17" s="14">
        <v>933962.25</v>
      </c>
      <c r="J17" s="14">
        <v>949674.33</v>
      </c>
    </row>
    <row r="18" spans="1:10" x14ac:dyDescent="0.2">
      <c r="A18" t="s">
        <v>70</v>
      </c>
      <c r="B18" s="65"/>
      <c r="C18" s="65"/>
      <c r="D18" s="65">
        <v>116565665</v>
      </c>
      <c r="E18" s="14">
        <v>593689.44999999995</v>
      </c>
      <c r="F18" s="14">
        <v>517990.05</v>
      </c>
      <c r="G18" s="14">
        <v>615997.86</v>
      </c>
      <c r="H18" s="14">
        <v>484023.78</v>
      </c>
      <c r="I18" s="14">
        <v>560905.63</v>
      </c>
      <c r="J18" s="14">
        <v>654877.37</v>
      </c>
    </row>
    <row r="19" spans="1:10" x14ac:dyDescent="0.2">
      <c r="A19" t="s">
        <v>71</v>
      </c>
      <c r="B19" s="65"/>
      <c r="C19" s="65"/>
      <c r="D19" s="65">
        <v>10008858</v>
      </c>
      <c r="E19" s="14">
        <v>70202.23</v>
      </c>
      <c r="F19" s="14">
        <v>75538.34</v>
      </c>
      <c r="G19" s="14"/>
      <c r="H19" s="14"/>
    </row>
    <row r="20" spans="1:10" x14ac:dyDescent="0.2">
      <c r="A20" t="s">
        <v>95</v>
      </c>
      <c r="B20" s="65"/>
      <c r="C20" s="65"/>
      <c r="D20" s="65"/>
      <c r="E20" s="14"/>
      <c r="F20" s="14"/>
      <c r="G20" s="14">
        <v>-78511.12</v>
      </c>
      <c r="H20" s="14">
        <v>1456480.92</v>
      </c>
      <c r="I20" s="14">
        <v>2219249.06</v>
      </c>
      <c r="J20" s="14">
        <v>2116534.7999999998</v>
      </c>
    </row>
    <row r="21" spans="1:10" x14ac:dyDescent="0.2">
      <c r="A21" t="s">
        <v>74</v>
      </c>
      <c r="B21" s="65"/>
      <c r="C21" s="65"/>
      <c r="D21" s="65"/>
      <c r="E21" s="14"/>
      <c r="F21" s="14"/>
      <c r="G21" s="14">
        <v>5834.5</v>
      </c>
      <c r="H21" s="14">
        <v>8465.32</v>
      </c>
      <c r="I21" s="14">
        <v>23474.58</v>
      </c>
      <c r="J21" s="14">
        <v>-963737.27</v>
      </c>
    </row>
    <row r="22" spans="1:10" x14ac:dyDescent="0.2">
      <c r="A22" t="s">
        <v>96</v>
      </c>
      <c r="B22" s="65"/>
      <c r="C22" s="65"/>
      <c r="D22" s="65"/>
      <c r="E22" s="14"/>
      <c r="F22" s="14"/>
      <c r="G22" s="14">
        <v>-579192.14</v>
      </c>
      <c r="H22" s="14">
        <v>609256.81999999995</v>
      </c>
      <c r="I22" s="14">
        <v>3359206.25</v>
      </c>
      <c r="J22" s="14">
        <v>-20602666.329999998</v>
      </c>
    </row>
    <row r="23" spans="1:10" x14ac:dyDescent="0.2">
      <c r="A23" t="s">
        <v>97</v>
      </c>
      <c r="B23" s="65"/>
      <c r="C23" s="65"/>
      <c r="D23" s="65"/>
      <c r="E23" s="14"/>
      <c r="F23" s="14"/>
      <c r="G23" s="14">
        <v>133015.21</v>
      </c>
      <c r="H23" s="14">
        <v>-827985.11</v>
      </c>
      <c r="I23" s="14">
        <v>-1099429.55</v>
      </c>
      <c r="J23" s="14">
        <v>-1381329.84</v>
      </c>
    </row>
    <row r="24" spans="1:10" x14ac:dyDescent="0.2">
      <c r="A24" t="s">
        <v>98</v>
      </c>
      <c r="B24" s="65"/>
      <c r="C24" s="65"/>
      <c r="D24" s="65"/>
      <c r="E24" s="14"/>
      <c r="F24" s="14"/>
      <c r="G24" s="14">
        <v>282413.44</v>
      </c>
      <c r="H24" s="14">
        <v>-26147718.010000002</v>
      </c>
      <c r="I24" s="14">
        <v>-62288715.899999999</v>
      </c>
      <c r="J24" s="14">
        <v>-116947640.18000001</v>
      </c>
    </row>
    <row r="25" spans="1:10" x14ac:dyDescent="0.2">
      <c r="A25" t="s">
        <v>78</v>
      </c>
      <c r="B25" s="65"/>
      <c r="C25" s="65"/>
      <c r="D25" s="65"/>
      <c r="E25" s="14"/>
      <c r="F25" s="14"/>
      <c r="G25" s="14">
        <v>-5639071.8200000003</v>
      </c>
      <c r="H25" s="14">
        <v>-24994497.34</v>
      </c>
      <c r="I25" s="14">
        <v>-69104164.760000005</v>
      </c>
      <c r="J25" s="14">
        <v>-97919723.799999997</v>
      </c>
    </row>
    <row r="26" spans="1:10" x14ac:dyDescent="0.2">
      <c r="A26" t="s">
        <v>79</v>
      </c>
      <c r="B26" s="65"/>
      <c r="D26" s="65"/>
      <c r="E26" s="14"/>
      <c r="F26" s="14"/>
      <c r="G26" s="14">
        <v>5353.31</v>
      </c>
      <c r="H26" s="14">
        <v>-333019.95</v>
      </c>
    </row>
    <row r="27" spans="1:10" x14ac:dyDescent="0.2">
      <c r="A27" t="s">
        <v>99</v>
      </c>
      <c r="B27" s="65"/>
      <c r="D27" s="65"/>
      <c r="E27" s="14"/>
      <c r="F27" s="14"/>
      <c r="G27" s="14"/>
      <c r="H27" s="14">
        <v>63590.6</v>
      </c>
      <c r="I27" s="14">
        <v>-1010502.3</v>
      </c>
      <c r="J27" s="14">
        <v>-2669640.29</v>
      </c>
    </row>
    <row r="28" spans="1:10" x14ac:dyDescent="0.2">
      <c r="A28" t="s">
        <v>100</v>
      </c>
      <c r="B28" s="65"/>
      <c r="D28" s="65"/>
      <c r="E28" s="14"/>
      <c r="F28" s="14"/>
      <c r="G28" s="14"/>
      <c r="H28" s="14">
        <v>350.06</v>
      </c>
      <c r="I28" s="14">
        <v>-161568.56</v>
      </c>
      <c r="J28" s="14">
        <v>-180946.68</v>
      </c>
    </row>
    <row r="29" spans="1:10" x14ac:dyDescent="0.2">
      <c r="A29" t="s">
        <v>82</v>
      </c>
      <c r="B29" s="65"/>
      <c r="D29" s="65"/>
      <c r="E29" s="14"/>
      <c r="F29" s="14"/>
      <c r="G29" s="14"/>
      <c r="H29" s="14"/>
      <c r="I29" s="14">
        <v>-2038629.12</v>
      </c>
      <c r="J29" s="14">
        <v>-2368732.5099999998</v>
      </c>
    </row>
    <row r="30" spans="1:10" x14ac:dyDescent="0.2">
      <c r="A30" t="s">
        <v>101</v>
      </c>
      <c r="B30" s="65"/>
      <c r="D30" s="65"/>
      <c r="E30" s="14"/>
      <c r="F30" s="14"/>
      <c r="G30" s="14"/>
      <c r="H30" s="14"/>
      <c r="I30" s="14">
        <v>10524.04</v>
      </c>
      <c r="J30" s="14">
        <v>20846.64</v>
      </c>
    </row>
    <row r="31" spans="1:10" x14ac:dyDescent="0.2">
      <c r="A31" t="s">
        <v>84</v>
      </c>
      <c r="B31" s="65"/>
      <c r="D31" s="65"/>
      <c r="E31" s="14"/>
      <c r="F31" s="14"/>
      <c r="G31" s="14"/>
      <c r="H31" s="14"/>
      <c r="I31" s="14" t="s">
        <v>102</v>
      </c>
      <c r="J31" s="14">
        <v>-51527.09</v>
      </c>
    </row>
    <row r="32" spans="1:10" x14ac:dyDescent="0.2">
      <c r="A32" t="s">
        <v>85</v>
      </c>
      <c r="B32" s="65"/>
      <c r="D32" s="65"/>
      <c r="E32" s="14"/>
      <c r="F32" s="14"/>
      <c r="G32" s="14"/>
      <c r="H32" s="14"/>
      <c r="I32" s="14">
        <v>354.26</v>
      </c>
      <c r="J32" s="14">
        <v>1311.72</v>
      </c>
    </row>
    <row r="33" spans="1:10" x14ac:dyDescent="0.2">
      <c r="A33" t="s">
        <v>86</v>
      </c>
      <c r="B33" s="65"/>
      <c r="D33" s="65"/>
      <c r="E33" s="14"/>
      <c r="F33" s="14"/>
      <c r="G33" s="14"/>
      <c r="H33" s="14"/>
      <c r="I33" s="14"/>
      <c r="J33" s="14">
        <v>0</v>
      </c>
    </row>
    <row r="34" spans="1:10" x14ac:dyDescent="0.2">
      <c r="A34" t="s">
        <v>87</v>
      </c>
      <c r="B34" s="65"/>
      <c r="D34" s="65"/>
      <c r="E34" s="14"/>
      <c r="F34" s="14"/>
      <c r="G34" s="14"/>
      <c r="H34" s="14"/>
      <c r="I34" s="14">
        <v>-1806131.36</v>
      </c>
      <c r="J34" s="14">
        <v>-3610822.31</v>
      </c>
    </row>
    <row r="35" spans="1:10" x14ac:dyDescent="0.2">
      <c r="A35" t="s">
        <v>88</v>
      </c>
      <c r="B35" s="65"/>
      <c r="D35" s="65"/>
      <c r="E35" s="14"/>
      <c r="F35" s="14"/>
      <c r="G35" s="14"/>
      <c r="H35" s="14"/>
      <c r="I35" s="14">
        <v>60491.44</v>
      </c>
      <c r="J35" s="14">
        <v>-3366571.51</v>
      </c>
    </row>
    <row r="36" spans="1:10" x14ac:dyDescent="0.2">
      <c r="A36" t="s">
        <v>89</v>
      </c>
      <c r="B36" s="65"/>
      <c r="D36" s="65"/>
      <c r="E36" s="14"/>
      <c r="F36" s="14"/>
      <c r="G36" s="14"/>
      <c r="H36" s="14"/>
      <c r="I36" s="14">
        <v>76091.14</v>
      </c>
      <c r="J36" s="14">
        <v>81461.16</v>
      </c>
    </row>
    <row r="37" spans="1:10" x14ac:dyDescent="0.2">
      <c r="B37" s="65"/>
      <c r="D37" s="65"/>
      <c r="E37" s="14"/>
      <c r="F37" s="14"/>
      <c r="G37" s="14"/>
      <c r="H37" s="14"/>
    </row>
    <row r="38" spans="1:10" x14ac:dyDescent="0.2">
      <c r="A38" t="s">
        <v>4</v>
      </c>
      <c r="B38" s="14">
        <f>SUM(B3:B19)/166.386/1000000</f>
        <v>17.671377141105623</v>
      </c>
      <c r="C38" s="14">
        <f>SUM(C3:C19)/166.386/1000000</f>
        <v>9.6288186746481088</v>
      </c>
      <c r="D38" s="14">
        <f>SUM(D3:D19)/166.386/1000000</f>
        <v>21.821277667592227</v>
      </c>
      <c r="E38" s="14">
        <f>SUM(E3:E19)/1000000</f>
        <v>9.1126444799999966</v>
      </c>
      <c r="F38" s="14">
        <f>SUM(F3:F26)/1000000</f>
        <v>-2.193609030000002</v>
      </c>
      <c r="G38" s="14">
        <f>SUM(G3:G27)/1000000</f>
        <v>-23.623828499999998</v>
      </c>
      <c r="H38" s="14">
        <f>SUM(H3:H34)/1000000</f>
        <v>-67.688349060000007</v>
      </c>
      <c r="I38" s="14">
        <f>SUM(I3:I36)/1000000</f>
        <v>-179.96896597000006</v>
      </c>
      <c r="J38" s="14">
        <f>SUM(J3:J36)/1000000</f>
        <v>-326.65214213999997</v>
      </c>
    </row>
    <row r="39" spans="1:10" x14ac:dyDescent="0.2">
      <c r="E39" s="14"/>
      <c r="G39" s="14"/>
      <c r="H39" s="14"/>
    </row>
    <row r="40" spans="1:10" x14ac:dyDescent="0.2">
      <c r="A40" t="s">
        <v>103</v>
      </c>
      <c r="C40" s="14">
        <f>SUM(C3:C14)/166.386/1000000</f>
        <v>9.573621602779081</v>
      </c>
      <c r="E40" s="14"/>
      <c r="G40" s="14"/>
      <c r="H40" s="14"/>
    </row>
    <row r="41" spans="1:10" x14ac:dyDescent="0.2">
      <c r="E41" s="14"/>
      <c r="G41" s="14"/>
      <c r="H41" s="14"/>
    </row>
    <row r="42" spans="1:10" x14ac:dyDescent="0.2">
      <c r="E42" s="14"/>
      <c r="G42" s="14"/>
      <c r="H42" s="14"/>
    </row>
    <row r="43" spans="1:10" x14ac:dyDescent="0.2">
      <c r="E43" s="14"/>
      <c r="G43" s="14"/>
    </row>
  </sheetData>
  <printOptions gridLines="1"/>
  <pageMargins left="0.74803149606299213" right="0.74803149606299213" top="0.98425196850393704" bottom="0.98425196850393704" header="0" footer="0"/>
  <pageSetup paperSize="9" scale="80"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Riesgo efectivo 2001-10 JG</vt:lpstr>
      <vt:lpstr>Ahorro Liquidado 2002-11 </vt:lpstr>
      <vt:lpstr>Liquidado  2002-11</vt:lpstr>
      <vt:lpstr>EVOL. EE.PP.CONS.FUND.2011-20</vt:lpstr>
      <vt:lpstr>Evol. fondos prop 201-21</vt:lpstr>
      <vt:lpstr>Evol. resultados 2012-21</vt:lpstr>
      <vt:lpstr>Datos Tributos Cedidos</vt:lpstr>
      <vt:lpstr>Datos resul Entid CAIB</vt:lpstr>
      <vt:lpstr>Entidades CAIB fondos p</vt:lpstr>
      <vt:lpstr>Hoja2</vt:lpstr>
      <vt:lpstr>'Ahorro Liquidado 2002-11 '!Área_de_impresión</vt:lpstr>
      <vt:lpstr>'Datos resul Entid CAIB'!Área_de_impresión</vt:lpstr>
      <vt:lpstr>'Datos Tributos Cedidos'!Área_de_impresión</vt:lpstr>
      <vt:lpstr>'EVOL. EE.PP.CONS.FUND.2011-20'!Área_de_impresión</vt:lpstr>
      <vt:lpstr>'Evol. resultados 2012-21'!Área_de_impresión</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 de les Illes Balears</dc:creator>
  <cp:lastModifiedBy>Marina Vich Ferragut</cp:lastModifiedBy>
  <cp:lastPrinted>2023-04-28T10:48:03Z</cp:lastPrinted>
  <dcterms:created xsi:type="dcterms:W3CDTF">2006-06-01T11:36:12Z</dcterms:created>
  <dcterms:modified xsi:type="dcterms:W3CDTF">2023-05-02T08:06:28Z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cuadros evolución 2015.xlsx</vt:lpwstr>
  </property>
</Properties>
</file>