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t mandat CES\04 PUBLICACIONS\01 MEMÒRIA\2021\6. Capítols maquetats i excels OK\"/>
    </mc:Choice>
  </mc:AlternateContent>
  <xr:revisionPtr revIDLastSave="0" documentId="13_ncr:1_{8C6AED6F-D14C-4BC0-BA63-5FD464B1E79C}" xr6:coauthVersionLast="45" xr6:coauthVersionMax="47" xr10:uidLastSave="{00000000-0000-0000-0000-000000000000}"/>
  <bookViews>
    <workbookView xWindow="-120" yWindow="-120" windowWidth="21840" windowHeight="13140" tabRatio="988" firstSheet="1" activeTab="24" xr2:uid="{00000000-000D-0000-FFFF-FFFF00000000}"/>
  </bookViews>
  <sheets>
    <sheet name="Índex de quadres y gràfics" sheetId="26" r:id="rId1"/>
    <sheet name="Q1" sheetId="1" r:id="rId2"/>
    <sheet name="G1" sheetId="2" r:id="rId3"/>
    <sheet name="Q2" sheetId="3" r:id="rId4"/>
    <sheet name="Q3" sheetId="6" r:id="rId5"/>
    <sheet name="Q4" sheetId="4" r:id="rId6"/>
    <sheet name="Q5" sheetId="5" r:id="rId7"/>
    <sheet name="Q6" sheetId="7" r:id="rId8"/>
    <sheet name="Q7" sheetId="22" r:id="rId9"/>
    <sheet name="Q8" sheetId="8" r:id="rId10"/>
    <sheet name="Q9" sheetId="9" r:id="rId11"/>
    <sheet name="Q10" sheetId="23" r:id="rId12"/>
    <sheet name="Q11" sheetId="24" r:id="rId13"/>
    <sheet name="Q12" sheetId="10" r:id="rId14"/>
    <sheet name="Q13" sheetId="11" r:id="rId15"/>
    <sheet name="Q14" sheetId="20" r:id="rId16"/>
    <sheet name="Q15" sheetId="19" r:id="rId17"/>
    <sheet name="Q16" sheetId="12" r:id="rId18"/>
    <sheet name="Q17" sheetId="14" r:id="rId19"/>
    <sheet name="G2" sheetId="13" r:id="rId20"/>
    <sheet name="Q18" sheetId="15" r:id="rId21"/>
    <sheet name="G3" sheetId="16" r:id="rId22"/>
    <sheet name="Q19" sheetId="17" r:id="rId23"/>
    <sheet name="Q20" sheetId="18" r:id="rId24"/>
    <sheet name="QA1" sheetId="21" r:id="rId25"/>
  </sheets>
  <definedNames>
    <definedName name="_xlnm.Print_Area" localSheetId="14">'Q13'!$A$1:$G$18</definedName>
    <definedName name="_xlnm.Print_Area" localSheetId="7">'Q6'!$A$1:$L$28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  <c r="E15" i="11"/>
  <c r="E14" i="11"/>
  <c r="E13" i="11"/>
  <c r="E12" i="11"/>
  <c r="E11" i="11"/>
  <c r="E10" i="11"/>
  <c r="E9" i="11"/>
  <c r="E7" i="11"/>
  <c r="E6" i="11"/>
  <c r="E5" i="11"/>
  <c r="E4" i="11"/>
  <c r="H34" i="10" l="1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D25" i="9"/>
  <c r="D24" i="9"/>
  <c r="C23" i="9"/>
  <c r="D23" i="9" s="1"/>
  <c r="D22" i="9"/>
  <c r="D21" i="9"/>
  <c r="D20" i="9"/>
  <c r="D19" i="9"/>
  <c r="D18" i="9"/>
  <c r="C17" i="9"/>
  <c r="D17" i="9" s="1"/>
  <c r="D16" i="9"/>
  <c r="D15" i="9"/>
  <c r="D14" i="9"/>
  <c r="C13" i="9"/>
  <c r="D13" i="9" s="1"/>
  <c r="D12" i="9"/>
  <c r="D11" i="9"/>
  <c r="D10" i="9"/>
  <c r="D9" i="9"/>
  <c r="D8" i="9"/>
  <c r="D7" i="9"/>
  <c r="D6" i="9"/>
  <c r="D5" i="9"/>
  <c r="D4" i="9"/>
  <c r="D3" i="9"/>
  <c r="E26" i="23" l="1"/>
  <c r="F26" i="23" s="1"/>
  <c r="E25" i="23"/>
  <c r="F25" i="23" s="1"/>
  <c r="E24" i="23"/>
  <c r="F24" i="23" s="1"/>
  <c r="E23" i="23"/>
  <c r="F23" i="23" s="1"/>
  <c r="E22" i="23"/>
  <c r="F22" i="23" s="1"/>
  <c r="E21" i="23"/>
  <c r="F21" i="23" s="1"/>
  <c r="E20" i="23"/>
  <c r="F20" i="23" s="1"/>
  <c r="E19" i="23"/>
  <c r="F19" i="23" s="1"/>
  <c r="E18" i="23"/>
  <c r="F18" i="23" s="1"/>
  <c r="E17" i="23"/>
  <c r="F17" i="23" s="1"/>
  <c r="E16" i="23"/>
  <c r="F16" i="23" s="1"/>
  <c r="E15" i="23"/>
  <c r="F15" i="23" s="1"/>
  <c r="E14" i="23"/>
  <c r="F14" i="23" s="1"/>
  <c r="E13" i="23"/>
  <c r="E12" i="23"/>
  <c r="F12" i="23" s="1"/>
  <c r="E11" i="23"/>
  <c r="F11" i="23" s="1"/>
  <c r="E10" i="23"/>
  <c r="E9" i="23"/>
  <c r="F9" i="23" s="1"/>
  <c r="E8" i="23"/>
  <c r="F8" i="23" s="1"/>
  <c r="E7" i="23"/>
  <c r="F7" i="23" s="1"/>
  <c r="E6" i="23"/>
  <c r="F6" i="23" s="1"/>
  <c r="E5" i="23"/>
  <c r="F5" i="23" s="1"/>
  <c r="E4" i="23"/>
  <c r="F4" i="23" s="1"/>
  <c r="E3" i="23"/>
  <c r="F3" i="23" s="1"/>
  <c r="F23" i="21" l="1"/>
  <c r="D23" i="21"/>
  <c r="C23" i="21"/>
  <c r="F22" i="21"/>
  <c r="D22" i="21"/>
  <c r="C22" i="21"/>
  <c r="F21" i="21"/>
  <c r="D21" i="21"/>
  <c r="C21" i="21"/>
  <c r="F20" i="21"/>
  <c r="D20" i="21"/>
  <c r="C20" i="21"/>
  <c r="F19" i="21"/>
  <c r="D19" i="21"/>
  <c r="C19" i="21"/>
  <c r="F18" i="21"/>
  <c r="D18" i="21"/>
  <c r="C18" i="21"/>
  <c r="F17" i="21"/>
  <c r="D17" i="21"/>
  <c r="C17" i="21"/>
  <c r="F16" i="21"/>
  <c r="D16" i="21"/>
  <c r="C16" i="21"/>
  <c r="F15" i="21"/>
  <c r="D15" i="21"/>
  <c r="C15" i="21"/>
  <c r="F14" i="21"/>
  <c r="D14" i="21"/>
  <c r="C14" i="21"/>
  <c r="F13" i="21"/>
  <c r="D13" i="21"/>
  <c r="C13" i="21"/>
  <c r="F12" i="21"/>
  <c r="D12" i="21"/>
  <c r="C12" i="21"/>
  <c r="F11" i="21"/>
  <c r="D11" i="21"/>
  <c r="C11" i="21"/>
  <c r="F10" i="21"/>
  <c r="D10" i="21"/>
  <c r="C10" i="21"/>
  <c r="F9" i="21"/>
  <c r="D9" i="21"/>
  <c r="C9" i="21"/>
  <c r="F8" i="21"/>
  <c r="D8" i="21"/>
  <c r="C8" i="21"/>
  <c r="F7" i="21"/>
  <c r="D7" i="21"/>
  <c r="C7" i="21"/>
  <c r="F6" i="21"/>
  <c r="D6" i="21"/>
  <c r="C6" i="21"/>
  <c r="F5" i="21"/>
  <c r="D5" i="21"/>
  <c r="C5" i="21"/>
  <c r="F4" i="21"/>
  <c r="D4" i="21"/>
  <c r="C4" i="21"/>
  <c r="F3" i="21"/>
  <c r="B29" i="20" l="1"/>
  <c r="B3" i="20"/>
  <c r="D33" i="20"/>
  <c r="F33" i="20" s="1"/>
  <c r="E33" i="20" l="1"/>
  <c r="D8" i="11"/>
  <c r="D9" i="8"/>
  <c r="C21" i="8"/>
  <c r="C15" i="8"/>
  <c r="C9" i="8"/>
  <c r="C3" i="8"/>
  <c r="C14" i="8" s="1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J20" i="6"/>
  <c r="I22" i="7"/>
  <c r="I16" i="7"/>
  <c r="I10" i="7"/>
  <c r="I4" i="7"/>
  <c r="F22" i="7"/>
  <c r="F16" i="7"/>
  <c r="F10" i="7"/>
  <c r="F4" i="7"/>
  <c r="C22" i="7"/>
  <c r="C16" i="7"/>
  <c r="C10" i="7"/>
  <c r="C4" i="7"/>
  <c r="E8" i="11" l="1"/>
  <c r="C27" i="7"/>
  <c r="F15" i="7"/>
  <c r="I27" i="7"/>
  <c r="C26" i="8"/>
  <c r="C15" i="7"/>
  <c r="F27" i="7"/>
  <c r="I15" i="7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J19" i="5"/>
  <c r="J18" i="5"/>
  <c r="J17" i="5"/>
  <c r="J16" i="5"/>
  <c r="J15" i="5"/>
  <c r="J14" i="5"/>
  <c r="J13" i="5"/>
  <c r="J12" i="5"/>
  <c r="J10" i="5"/>
  <c r="J9" i="5"/>
  <c r="J8" i="5"/>
  <c r="J7" i="5"/>
  <c r="J6" i="5"/>
  <c r="J5" i="5"/>
  <c r="J4" i="5"/>
  <c r="H19" i="5"/>
  <c r="H18" i="5"/>
  <c r="H17" i="5"/>
  <c r="H16" i="5"/>
  <c r="H15" i="5"/>
  <c r="H14" i="5"/>
  <c r="H13" i="5"/>
  <c r="H12" i="5"/>
  <c r="H10" i="5"/>
  <c r="H9" i="5"/>
  <c r="H8" i="5"/>
  <c r="H7" i="5"/>
  <c r="H6" i="5"/>
  <c r="H5" i="5"/>
  <c r="H4" i="5"/>
  <c r="F19" i="5"/>
  <c r="F18" i="5"/>
  <c r="F17" i="5"/>
  <c r="F16" i="5"/>
  <c r="F15" i="5"/>
  <c r="F14" i="5"/>
  <c r="F13" i="5"/>
  <c r="F12" i="5"/>
  <c r="F10" i="5"/>
  <c r="F9" i="5"/>
  <c r="F8" i="5"/>
  <c r="F7" i="5"/>
  <c r="F6" i="5"/>
  <c r="F5" i="5"/>
  <c r="F4" i="5"/>
  <c r="D19" i="5"/>
  <c r="D18" i="5"/>
  <c r="D17" i="5"/>
  <c r="D16" i="5"/>
  <c r="D15" i="5"/>
  <c r="D14" i="5"/>
  <c r="D13" i="5"/>
  <c r="D12" i="5"/>
  <c r="D10" i="5"/>
  <c r="D9" i="5"/>
  <c r="D8" i="5"/>
  <c r="D7" i="5"/>
  <c r="D6" i="5"/>
  <c r="D5" i="5"/>
  <c r="D4" i="5"/>
  <c r="D20" i="5" l="1"/>
  <c r="D11" i="5"/>
  <c r="Q8" i="4"/>
  <c r="Q10" i="4" s="1"/>
  <c r="L9" i="4"/>
  <c r="L7" i="4"/>
  <c r="L6" i="4"/>
  <c r="L5" i="4"/>
  <c r="L4" i="4"/>
  <c r="O9" i="4"/>
  <c r="O7" i="4"/>
  <c r="O6" i="4"/>
  <c r="O5" i="4"/>
  <c r="O4" i="4"/>
  <c r="K9" i="4"/>
  <c r="K7" i="4"/>
  <c r="K6" i="4"/>
  <c r="K5" i="4"/>
  <c r="K4" i="4"/>
  <c r="J9" i="4"/>
  <c r="I9" i="4"/>
  <c r="J7" i="4"/>
  <c r="I7" i="4"/>
  <c r="J6" i="4"/>
  <c r="I6" i="4"/>
  <c r="J5" i="4"/>
  <c r="I5" i="4"/>
  <c r="J4" i="4"/>
  <c r="I4" i="4"/>
  <c r="H8" i="4"/>
  <c r="K8" i="4" s="1"/>
  <c r="I8" i="4" l="1"/>
  <c r="O8" i="4"/>
  <c r="O10" i="4" s="1"/>
  <c r="H10" i="4"/>
  <c r="C16" i="3"/>
  <c r="C4" i="3"/>
  <c r="C10" i="3"/>
  <c r="C23" i="2"/>
  <c r="E23" i="2" s="1"/>
  <c r="G16" i="1"/>
  <c r="G15" i="1"/>
  <c r="G13" i="1"/>
  <c r="G12" i="1"/>
  <c r="G10" i="1"/>
  <c r="G9" i="1"/>
  <c r="G8" i="1"/>
  <c r="G7" i="1"/>
  <c r="G6" i="1"/>
  <c r="C14" i="1"/>
  <c r="G14" i="1" s="1"/>
  <c r="C11" i="1"/>
  <c r="G11" i="1" s="1"/>
  <c r="C5" i="1"/>
  <c r="C4" i="1" s="1"/>
  <c r="C13" i="3" l="1"/>
  <c r="C17" i="3" s="1"/>
  <c r="G4" i="1"/>
  <c r="C17" i="1"/>
  <c r="G17" i="1" s="1"/>
  <c r="G5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11" i="3" l="1"/>
  <c r="F9" i="3"/>
  <c r="F7" i="3"/>
  <c r="F13" i="3"/>
  <c r="F5" i="3"/>
  <c r="F17" i="1"/>
  <c r="F15" i="3"/>
  <c r="F14" i="3"/>
  <c r="F6" i="3"/>
  <c r="F12" i="3"/>
  <c r="F4" i="3"/>
  <c r="F16" i="3"/>
  <c r="F8" i="3"/>
  <c r="F10" i="3"/>
  <c r="F33" i="19"/>
  <c r="G33" i="19" s="1"/>
  <c r="F32" i="19"/>
  <c r="G32" i="19" s="1"/>
  <c r="F31" i="19"/>
  <c r="G31" i="19" s="1"/>
  <c r="F30" i="19"/>
  <c r="G30" i="19" s="1"/>
  <c r="F29" i="19"/>
  <c r="G29" i="19" s="1"/>
  <c r="F28" i="19"/>
  <c r="G28" i="19" s="1"/>
  <c r="F27" i="19"/>
  <c r="G27" i="19" s="1"/>
  <c r="F26" i="19"/>
  <c r="G26" i="19" s="1"/>
  <c r="F25" i="19"/>
  <c r="G25" i="19" s="1"/>
  <c r="F24" i="19"/>
  <c r="G24" i="19" s="1"/>
  <c r="F23" i="19"/>
  <c r="G23" i="19" s="1"/>
  <c r="F22" i="19"/>
  <c r="G22" i="19" s="1"/>
  <c r="F21" i="19"/>
  <c r="G21" i="19" s="1"/>
  <c r="F20" i="19"/>
  <c r="G20" i="19" s="1"/>
  <c r="F19" i="19"/>
  <c r="G19" i="19" s="1"/>
  <c r="F18" i="19"/>
  <c r="G18" i="19" s="1"/>
  <c r="F17" i="19"/>
  <c r="G17" i="19" s="1"/>
  <c r="F16" i="19"/>
  <c r="G16" i="19" s="1"/>
  <c r="F15" i="19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9" i="19"/>
  <c r="G9" i="19" s="1"/>
  <c r="F8" i="19"/>
  <c r="G8" i="19" s="1"/>
  <c r="F7" i="19"/>
  <c r="G7" i="19" s="1"/>
  <c r="F5" i="19"/>
  <c r="G5" i="19" s="1"/>
  <c r="F4" i="19"/>
  <c r="G4" i="19" s="1"/>
  <c r="F6" i="19" l="1"/>
  <c r="G6" i="19" s="1"/>
  <c r="D32" i="20"/>
  <c r="D31" i="20"/>
  <c r="D30" i="20"/>
  <c r="D28" i="20"/>
  <c r="D27" i="20"/>
  <c r="D26" i="20"/>
  <c r="D25" i="20"/>
  <c r="D24" i="20"/>
  <c r="D23" i="20"/>
  <c r="D22" i="20"/>
  <c r="D20" i="20"/>
  <c r="D19" i="20"/>
  <c r="D18" i="20"/>
  <c r="D17" i="20"/>
  <c r="D15" i="20"/>
  <c r="D14" i="20"/>
  <c r="D13" i="20"/>
  <c r="D12" i="20"/>
  <c r="D10" i="20"/>
  <c r="D9" i="20"/>
  <c r="D8" i="20"/>
  <c r="D7" i="20"/>
  <c r="D5" i="20"/>
  <c r="F17" i="20" l="1"/>
  <c r="E17" i="20"/>
  <c r="E31" i="20"/>
  <c r="F31" i="20"/>
  <c r="F8" i="20"/>
  <c r="E8" i="20"/>
  <c r="E18" i="20"/>
  <c r="F18" i="20"/>
  <c r="E23" i="20"/>
  <c r="F23" i="20"/>
  <c r="F32" i="20"/>
  <c r="E32" i="20"/>
  <c r="F9" i="20"/>
  <c r="E9" i="20"/>
  <c r="E14" i="20"/>
  <c r="F14" i="20"/>
  <c r="E19" i="20"/>
  <c r="F19" i="20"/>
  <c r="F24" i="20"/>
  <c r="E24" i="20"/>
  <c r="F28" i="20"/>
  <c r="E28" i="20"/>
  <c r="F5" i="20"/>
  <c r="E5" i="20"/>
  <c r="E10" i="20"/>
  <c r="F10" i="20"/>
  <c r="F15" i="20"/>
  <c r="E15" i="20"/>
  <c r="F20" i="20"/>
  <c r="E20" i="20"/>
  <c r="F25" i="20"/>
  <c r="E25" i="20"/>
  <c r="D29" i="20"/>
  <c r="E30" i="20"/>
  <c r="F30" i="20"/>
  <c r="F7" i="20"/>
  <c r="E7" i="20"/>
  <c r="E22" i="20"/>
  <c r="F22" i="20"/>
  <c r="E27" i="20"/>
  <c r="F27" i="20"/>
  <c r="F12" i="20"/>
  <c r="E12" i="20"/>
  <c r="E26" i="20"/>
  <c r="F26" i="20"/>
  <c r="F13" i="20"/>
  <c r="E13" i="20"/>
  <c r="G3" i="19"/>
  <c r="F3" i="19"/>
  <c r="I20" i="6"/>
  <c r="G8" i="4"/>
  <c r="C22" i="2"/>
  <c r="E22" i="2" s="1"/>
  <c r="L8" i="4" l="1"/>
  <c r="J8" i="4"/>
  <c r="F29" i="20"/>
  <c r="E29" i="20"/>
  <c r="G10" i="4"/>
  <c r="D20" i="24"/>
  <c r="E26" i="22"/>
  <c r="F26" i="22" s="1"/>
  <c r="E25" i="22"/>
  <c r="F25" i="22" s="1"/>
  <c r="E24" i="22"/>
  <c r="F24" i="22" s="1"/>
  <c r="E23" i="22"/>
  <c r="F23" i="22" s="1"/>
  <c r="E22" i="22"/>
  <c r="F22" i="22" s="1"/>
  <c r="E21" i="22"/>
  <c r="F21" i="22" s="1"/>
  <c r="E20" i="22"/>
  <c r="F20" i="22" s="1"/>
  <c r="E19" i="22"/>
  <c r="F19" i="22" s="1"/>
  <c r="E18" i="22"/>
  <c r="F18" i="22" s="1"/>
  <c r="E17" i="22"/>
  <c r="F17" i="22" s="1"/>
  <c r="E16" i="22"/>
  <c r="F16" i="22" s="1"/>
  <c r="E15" i="22"/>
  <c r="F15" i="22" s="1"/>
  <c r="E14" i="22"/>
  <c r="F14" i="22" s="1"/>
  <c r="E13" i="22"/>
  <c r="F13" i="22" s="1"/>
  <c r="E12" i="22"/>
  <c r="F12" i="22" s="1"/>
  <c r="E11" i="22"/>
  <c r="F11" i="22" s="1"/>
  <c r="E10" i="22"/>
  <c r="E9" i="22"/>
  <c r="F9" i="22" s="1"/>
  <c r="E8" i="22"/>
  <c r="F8" i="22" s="1"/>
  <c r="E7" i="22"/>
  <c r="F7" i="22" s="1"/>
  <c r="E6" i="22"/>
  <c r="F6" i="22" s="1"/>
  <c r="E5" i="22"/>
  <c r="F5" i="22" s="1"/>
  <c r="E4" i="22"/>
  <c r="F4" i="22" s="1"/>
  <c r="E3" i="22"/>
  <c r="F3" i="22" s="1"/>
  <c r="L10" i="4" l="1"/>
  <c r="J10" i="4"/>
  <c r="G22" i="7"/>
  <c r="C15" i="11" l="1"/>
  <c r="C13" i="11"/>
  <c r="F13" i="11" s="1"/>
  <c r="C8" i="11"/>
  <c r="F8" i="11" s="1"/>
  <c r="E24" i="24" l="1"/>
  <c r="F24" i="24" s="1"/>
  <c r="E23" i="24"/>
  <c r="F23" i="24" s="1"/>
  <c r="E22" i="24"/>
  <c r="F22" i="24" s="1"/>
  <c r="E21" i="24"/>
  <c r="F21" i="24" s="1"/>
  <c r="E20" i="24"/>
  <c r="F20" i="24" s="1"/>
  <c r="E19" i="24"/>
  <c r="F19" i="24" s="1"/>
  <c r="E18" i="24"/>
  <c r="F18" i="24" s="1"/>
  <c r="E17" i="24"/>
  <c r="F17" i="24" s="1"/>
  <c r="E16" i="24"/>
  <c r="F16" i="24" s="1"/>
  <c r="D15" i="24"/>
  <c r="D25" i="24" s="1"/>
  <c r="E13" i="24"/>
  <c r="E12" i="24"/>
  <c r="F12" i="24" s="1"/>
  <c r="E11" i="24"/>
  <c r="F11" i="24" s="1"/>
  <c r="E10" i="24"/>
  <c r="F10" i="24" s="1"/>
  <c r="D9" i="24"/>
  <c r="E8" i="24"/>
  <c r="F8" i="24" s="1"/>
  <c r="E7" i="24"/>
  <c r="F7" i="24" s="1"/>
  <c r="E6" i="24"/>
  <c r="F6" i="24" s="1"/>
  <c r="E5" i="24"/>
  <c r="F5" i="24" s="1"/>
  <c r="E4" i="24"/>
  <c r="F4" i="24" s="1"/>
  <c r="D3" i="24"/>
  <c r="E3" i="24" s="1"/>
  <c r="F3" i="24" s="1"/>
  <c r="D21" i="20"/>
  <c r="D16" i="20"/>
  <c r="D11" i="20"/>
  <c r="D6" i="20"/>
  <c r="D4" i="20"/>
  <c r="E34" i="10"/>
  <c r="G34" i="10" s="1"/>
  <c r="E33" i="10"/>
  <c r="G33" i="10" s="1"/>
  <c r="E32" i="10"/>
  <c r="G32" i="10" s="1"/>
  <c r="E31" i="10"/>
  <c r="G31" i="10" s="1"/>
  <c r="E30" i="10"/>
  <c r="G30" i="10" s="1"/>
  <c r="E29" i="10"/>
  <c r="G29" i="10" s="1"/>
  <c r="E28" i="10"/>
  <c r="G28" i="10" s="1"/>
  <c r="E27" i="10"/>
  <c r="G27" i="10" s="1"/>
  <c r="E26" i="10"/>
  <c r="G26" i="10" s="1"/>
  <c r="E25" i="10"/>
  <c r="G25" i="10" s="1"/>
  <c r="E24" i="10"/>
  <c r="G24" i="10" s="1"/>
  <c r="E23" i="10"/>
  <c r="G23" i="10" s="1"/>
  <c r="E22" i="10"/>
  <c r="G22" i="10" s="1"/>
  <c r="E21" i="10"/>
  <c r="G21" i="10" s="1"/>
  <c r="E20" i="10"/>
  <c r="G20" i="10" s="1"/>
  <c r="E19" i="10"/>
  <c r="G19" i="10" s="1"/>
  <c r="E18" i="10"/>
  <c r="G18" i="10" s="1"/>
  <c r="E17" i="10"/>
  <c r="G17" i="10" s="1"/>
  <c r="E16" i="10"/>
  <c r="G16" i="10" s="1"/>
  <c r="E15" i="10"/>
  <c r="G15" i="10" s="1"/>
  <c r="E14" i="10"/>
  <c r="G14" i="10" s="1"/>
  <c r="E13" i="10"/>
  <c r="G13" i="10" s="1"/>
  <c r="E12" i="10"/>
  <c r="G12" i="10" s="1"/>
  <c r="E11" i="10"/>
  <c r="G11" i="10" s="1"/>
  <c r="E10" i="10"/>
  <c r="G10" i="10" s="1"/>
  <c r="E9" i="10"/>
  <c r="G9" i="10" s="1"/>
  <c r="E8" i="10"/>
  <c r="G8" i="10" s="1"/>
  <c r="E7" i="10"/>
  <c r="G7" i="10" s="1"/>
  <c r="E6" i="10"/>
  <c r="G6" i="10" s="1"/>
  <c r="E5" i="10"/>
  <c r="G5" i="10" s="1"/>
  <c r="E4" i="10"/>
  <c r="G4" i="10" s="1"/>
  <c r="E25" i="8"/>
  <c r="E24" i="8"/>
  <c r="E23" i="8"/>
  <c r="E22" i="8"/>
  <c r="D21" i="8"/>
  <c r="E21" i="8" s="1"/>
  <c r="E20" i="8"/>
  <c r="E19" i="8"/>
  <c r="E18" i="8"/>
  <c r="E17" i="8"/>
  <c r="E16" i="8"/>
  <c r="D15" i="8"/>
  <c r="E15" i="8" s="1"/>
  <c r="E13" i="8"/>
  <c r="E12" i="8"/>
  <c r="E11" i="8"/>
  <c r="E10" i="8"/>
  <c r="E9" i="8"/>
  <c r="E8" i="8"/>
  <c r="E7" i="8"/>
  <c r="E6" i="8"/>
  <c r="E5" i="8"/>
  <c r="E4" i="8"/>
  <c r="D3" i="8"/>
  <c r="K26" i="7"/>
  <c r="H26" i="7"/>
  <c r="E26" i="7"/>
  <c r="K25" i="7"/>
  <c r="H25" i="7"/>
  <c r="E25" i="7"/>
  <c r="K24" i="7"/>
  <c r="H24" i="7"/>
  <c r="E24" i="7"/>
  <c r="K23" i="7"/>
  <c r="H23" i="7"/>
  <c r="E23" i="7"/>
  <c r="J22" i="7"/>
  <c r="H22" i="7"/>
  <c r="D22" i="7"/>
  <c r="E22" i="7" s="1"/>
  <c r="K21" i="7"/>
  <c r="H21" i="7"/>
  <c r="E21" i="7"/>
  <c r="K20" i="7"/>
  <c r="H20" i="7"/>
  <c r="E20" i="7"/>
  <c r="K19" i="7"/>
  <c r="H19" i="7"/>
  <c r="E19" i="7"/>
  <c r="K18" i="7"/>
  <c r="H18" i="7"/>
  <c r="E18" i="7"/>
  <c r="K17" i="7"/>
  <c r="H17" i="7"/>
  <c r="E17" i="7"/>
  <c r="J16" i="7"/>
  <c r="G16" i="7"/>
  <c r="H16" i="7" s="1"/>
  <c r="D16" i="7"/>
  <c r="E16" i="7" s="1"/>
  <c r="K14" i="7"/>
  <c r="K13" i="7"/>
  <c r="H13" i="7"/>
  <c r="E13" i="7"/>
  <c r="K12" i="7"/>
  <c r="H12" i="7"/>
  <c r="E12" i="7"/>
  <c r="J10" i="7"/>
  <c r="K10" i="7" s="1"/>
  <c r="G10" i="7"/>
  <c r="D10" i="7"/>
  <c r="H9" i="7"/>
  <c r="E9" i="7"/>
  <c r="K8" i="7"/>
  <c r="H8" i="7"/>
  <c r="E8" i="7"/>
  <c r="K7" i="7"/>
  <c r="H7" i="7"/>
  <c r="E7" i="7"/>
  <c r="K6" i="7"/>
  <c r="H6" i="7"/>
  <c r="E6" i="7"/>
  <c r="K5" i="7"/>
  <c r="H5" i="7"/>
  <c r="E5" i="7"/>
  <c r="J4" i="7"/>
  <c r="K4" i="7" s="1"/>
  <c r="G4" i="7"/>
  <c r="H4" i="7" s="1"/>
  <c r="D4" i="7"/>
  <c r="K20" i="6"/>
  <c r="I20" i="5"/>
  <c r="J20" i="5" s="1"/>
  <c r="G20" i="5"/>
  <c r="H20" i="5" s="1"/>
  <c r="E20" i="5"/>
  <c r="F20" i="5" s="1"/>
  <c r="C20" i="5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I11" i="5"/>
  <c r="J11" i="5" s="1"/>
  <c r="G11" i="5"/>
  <c r="H11" i="5" s="1"/>
  <c r="E11" i="5"/>
  <c r="F11" i="5" s="1"/>
  <c r="C11" i="5"/>
  <c r="K10" i="5"/>
  <c r="L10" i="5" s="1"/>
  <c r="K9" i="5"/>
  <c r="L9" i="5" s="1"/>
  <c r="K8" i="5"/>
  <c r="L8" i="5" s="1"/>
  <c r="K7" i="5"/>
  <c r="L7" i="5" s="1"/>
  <c r="K6" i="5"/>
  <c r="L6" i="5" s="1"/>
  <c r="K5" i="5"/>
  <c r="L5" i="5" s="1"/>
  <c r="K4" i="5"/>
  <c r="L4" i="5" s="1"/>
  <c r="F10" i="4"/>
  <c r="E10" i="4"/>
  <c r="D10" i="4"/>
  <c r="C10" i="4"/>
  <c r="B10" i="4"/>
  <c r="M9" i="4"/>
  <c r="M8" i="4"/>
  <c r="M7" i="4"/>
  <c r="M6" i="4"/>
  <c r="M5" i="4"/>
  <c r="M4" i="4"/>
  <c r="E15" i="3"/>
  <c r="D15" i="3"/>
  <c r="E14" i="3"/>
  <c r="D14" i="3"/>
  <c r="E12" i="3"/>
  <c r="D12" i="3"/>
  <c r="E11" i="3"/>
  <c r="D11" i="3"/>
  <c r="E9" i="3"/>
  <c r="D9" i="3"/>
  <c r="E8" i="3"/>
  <c r="D8" i="3"/>
  <c r="E7" i="3"/>
  <c r="D7" i="3"/>
  <c r="E6" i="3"/>
  <c r="D6" i="3"/>
  <c r="E5" i="3"/>
  <c r="D5" i="3"/>
  <c r="D4" i="3"/>
  <c r="E4" i="3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E7" i="1"/>
  <c r="D6" i="1"/>
  <c r="E6" i="1" s="1"/>
  <c r="L11" i="5" l="1"/>
  <c r="M10" i="4"/>
  <c r="K10" i="4"/>
  <c r="I10" i="4"/>
  <c r="L20" i="5"/>
  <c r="E11" i="20"/>
  <c r="F11" i="20"/>
  <c r="F16" i="20"/>
  <c r="E16" i="20"/>
  <c r="F4" i="20"/>
  <c r="E4" i="20"/>
  <c r="F21" i="20"/>
  <c r="E21" i="20"/>
  <c r="E6" i="20"/>
  <c r="F6" i="20"/>
  <c r="E3" i="8"/>
  <c r="D14" i="8"/>
  <c r="E14" i="8" s="1"/>
  <c r="K22" i="7"/>
  <c r="K16" i="7"/>
  <c r="G15" i="7"/>
  <c r="H15" i="7" s="1"/>
  <c r="E4" i="7"/>
  <c r="D15" i="7"/>
  <c r="F5" i="10"/>
  <c r="F9" i="10"/>
  <c r="F13" i="10"/>
  <c r="F17" i="10"/>
  <c r="F21" i="10"/>
  <c r="F25" i="10"/>
  <c r="F29" i="10"/>
  <c r="F33" i="10"/>
  <c r="F7" i="10"/>
  <c r="F11" i="10"/>
  <c r="F15" i="10"/>
  <c r="F19" i="10"/>
  <c r="F23" i="10"/>
  <c r="F27" i="10"/>
  <c r="F31" i="10"/>
  <c r="F22" i="10"/>
  <c r="F8" i="10"/>
  <c r="F30" i="10"/>
  <c r="F16" i="10"/>
  <c r="F6" i="10"/>
  <c r="F14" i="10"/>
  <c r="F20" i="10"/>
  <c r="F28" i="10"/>
  <c r="F4" i="10"/>
  <c r="F12" i="10"/>
  <c r="F26" i="10"/>
  <c r="F34" i="10"/>
  <c r="F10" i="10"/>
  <c r="F18" i="10"/>
  <c r="F24" i="10"/>
  <c r="F32" i="10"/>
  <c r="K20" i="5"/>
  <c r="K11" i="5"/>
  <c r="D14" i="24"/>
  <c r="E14" i="24" s="1"/>
  <c r="F14" i="24" s="1"/>
  <c r="H10" i="7"/>
  <c r="E10" i="7"/>
  <c r="J15" i="7"/>
  <c r="K15" i="7" s="1"/>
  <c r="D17" i="1"/>
  <c r="E17" i="1" s="1"/>
  <c r="E25" i="24"/>
  <c r="F25" i="24" s="1"/>
  <c r="D27" i="7"/>
  <c r="E27" i="7" s="1"/>
  <c r="J27" i="7"/>
  <c r="D26" i="8"/>
  <c r="E26" i="8" s="1"/>
  <c r="D3" i="20"/>
  <c r="E3" i="20" s="1"/>
  <c r="E9" i="24"/>
  <c r="F9" i="24" s="1"/>
  <c r="E15" i="24"/>
  <c r="F15" i="24" s="1"/>
  <c r="E10" i="3"/>
  <c r="E16" i="3"/>
  <c r="G27" i="7"/>
  <c r="H27" i="7" s="1"/>
  <c r="D4" i="1"/>
  <c r="E4" i="1" s="1"/>
  <c r="D5" i="1"/>
  <c r="E5" i="1" s="1"/>
  <c r="D10" i="3"/>
  <c r="D16" i="3"/>
  <c r="K27" i="7" l="1"/>
  <c r="E15" i="7"/>
  <c r="F3" i="20"/>
  <c r="D17" i="3"/>
  <c r="G15" i="3"/>
  <c r="G12" i="3"/>
  <c r="G9" i="3"/>
  <c r="G7" i="3"/>
  <c r="G5" i="3"/>
  <c r="E17" i="3"/>
  <c r="G14" i="3"/>
  <c r="G11" i="3"/>
  <c r="G8" i="3"/>
  <c r="G6" i="3"/>
  <c r="G4" i="3"/>
  <c r="G13" i="3"/>
  <c r="D13" i="3"/>
  <c r="E13" i="3"/>
  <c r="G16" i="3"/>
  <c r="G10" i="3"/>
</calcChain>
</file>

<file path=xl/sharedStrings.xml><?xml version="1.0" encoding="utf-8"?>
<sst xmlns="http://schemas.openxmlformats.org/spreadsheetml/2006/main" count="742" uniqueCount="388">
  <si>
    <t>Import (milers d'euros)</t>
  </si>
  <si>
    <t>Variació</t>
  </si>
  <si>
    <t>Valor relatiu</t>
  </si>
  <si>
    <t>Total ingrés no financer</t>
  </si>
  <si>
    <t>Total operacions corrents</t>
  </si>
  <si>
    <t>Total operacions de capital</t>
  </si>
  <si>
    <t>Total operacions financeres</t>
  </si>
  <si>
    <t>Total ingrés</t>
  </si>
  <si>
    <t>Despesa (milions d'euros)</t>
  </si>
  <si>
    <t>% de variació interanual</t>
  </si>
  <si>
    <t>% sobre el PIB</t>
  </si>
  <si>
    <t>Total despesa no financera</t>
  </si>
  <si>
    <t>Total despesa</t>
  </si>
  <si>
    <t>00 Indeterminat</t>
  </si>
  <si>
    <t>10 Mallorca (sense Palma)</t>
  </si>
  <si>
    <t>11 Palma</t>
  </si>
  <si>
    <t>20 Menorca</t>
  </si>
  <si>
    <t>30 Eivissa</t>
  </si>
  <si>
    <t>40 Formentera</t>
  </si>
  <si>
    <t>Total inversió</t>
  </si>
  <si>
    <t>Entitats públiques empresarials</t>
  </si>
  <si>
    <t>Fundacions</t>
  </si>
  <si>
    <t>Consorcis</t>
  </si>
  <si>
    <t>Societats mercantils públiques</t>
  </si>
  <si>
    <t>Total agregat</t>
  </si>
  <si>
    <t>Milers d'euros</t>
  </si>
  <si>
    <t>Valor relatiu (%)</t>
  </si>
  <si>
    <t>Ingressos</t>
  </si>
  <si>
    <t>Total ingressos</t>
  </si>
  <si>
    <t>Despeses</t>
  </si>
  <si>
    <t>Total despeses</t>
  </si>
  <si>
    <t>Andalusia</t>
  </si>
  <si>
    <t>Aragó</t>
  </si>
  <si>
    <t>Astúries</t>
  </si>
  <si>
    <t>Balears (Illes)</t>
  </si>
  <si>
    <t>Canàries (Illes)</t>
  </si>
  <si>
    <t>Cantàbria</t>
  </si>
  <si>
    <t>Castella-la Manxa</t>
  </si>
  <si>
    <t>Castella i Lleó</t>
  </si>
  <si>
    <t>Catalunya</t>
  </si>
  <si>
    <t>Extremadura</t>
  </si>
  <si>
    <t>Galícia</t>
  </si>
  <si>
    <t>La Rioja</t>
  </si>
  <si>
    <t>Madrid</t>
  </si>
  <si>
    <t>Múrcia</t>
  </si>
  <si>
    <t>Navarra</t>
  </si>
  <si>
    <t>País Basc</t>
  </si>
  <si>
    <t>Com. Valenciana</t>
  </si>
  <si>
    <t>Total</t>
  </si>
  <si>
    <t>Consell Insular de Mallorca</t>
  </si>
  <si>
    <t>Consell Insular de Menorca</t>
  </si>
  <si>
    <t>Consell Insular d'Eivissa</t>
  </si>
  <si>
    <t>Operacions corrents</t>
  </si>
  <si>
    <t>Operacions de capital</t>
  </si>
  <si>
    <t>Font: Elaboració pròpia segons dades del Ministeri d'Hisenda i Administracions Públiques</t>
  </si>
  <si>
    <t>Alcúdia</t>
  </si>
  <si>
    <t>Calvià</t>
  </si>
  <si>
    <t>Inca</t>
  </si>
  <si>
    <t>Llucmajor</t>
  </si>
  <si>
    <t>Manacor</t>
  </si>
  <si>
    <t>Marratxí</t>
  </si>
  <si>
    <t>Palma</t>
  </si>
  <si>
    <t>Pollença</t>
  </si>
  <si>
    <t>Santanyí</t>
  </si>
  <si>
    <t>Sóller</t>
  </si>
  <si>
    <t>La resta</t>
  </si>
  <si>
    <t>Mallorca</t>
  </si>
  <si>
    <t>Ciutadella</t>
  </si>
  <si>
    <t>Maó</t>
  </si>
  <si>
    <t>Menorca</t>
  </si>
  <si>
    <t>Eivissa</t>
  </si>
  <si>
    <t>Santa Eulària des Riu</t>
  </si>
  <si>
    <t>Sant Josep</t>
  </si>
  <si>
    <t>Formentera</t>
  </si>
  <si>
    <t>Eivissa-Formentera</t>
  </si>
  <si>
    <t>Total consolidat entitats locals (en milers d'euros)</t>
  </si>
  <si>
    <t>Repartiment de la despesa (%)</t>
  </si>
  <si>
    <t>Despesa per habitant</t>
  </si>
  <si>
    <t>0</t>
  </si>
  <si>
    <t>Deute públic</t>
  </si>
  <si>
    <t>01</t>
  </si>
  <si>
    <t>1</t>
  </si>
  <si>
    <t>Serveis públics bàsics</t>
  </si>
  <si>
    <t>13</t>
  </si>
  <si>
    <t>Seguretat i mobilitat ciutadana</t>
  </si>
  <si>
    <t>15</t>
  </si>
  <si>
    <t>Habitatge i urbanisme</t>
  </si>
  <si>
    <t>16</t>
  </si>
  <si>
    <t>Benestar comunitari</t>
  </si>
  <si>
    <t>17</t>
  </si>
  <si>
    <t>Medi ambient</t>
  </si>
  <si>
    <t>2</t>
  </si>
  <si>
    <t>Actuacions de protecció i promoció social</t>
  </si>
  <si>
    <t>21</t>
  </si>
  <si>
    <t>Pensions</t>
  </si>
  <si>
    <t>22</t>
  </si>
  <si>
    <t>Altres prestacions econòmiques a favor d'empleats</t>
  </si>
  <si>
    <t>23</t>
  </si>
  <si>
    <t>24</t>
  </si>
  <si>
    <t>Foment de l’ocupació</t>
  </si>
  <si>
    <t>3</t>
  </si>
  <si>
    <t>Producció de béns públics de caràcter preferent</t>
  </si>
  <si>
    <t>31</t>
  </si>
  <si>
    <t>Sanitat</t>
  </si>
  <si>
    <t>32</t>
  </si>
  <si>
    <t>Educació</t>
  </si>
  <si>
    <t>33</t>
  </si>
  <si>
    <t>Cultura</t>
  </si>
  <si>
    <t>34</t>
  </si>
  <si>
    <t>Esport</t>
  </si>
  <si>
    <t>4</t>
  </si>
  <si>
    <t>Actuacions de caràcter econòmic</t>
  </si>
  <si>
    <t>41</t>
  </si>
  <si>
    <t>Agricultura, ramaderia i pesca</t>
  </si>
  <si>
    <t>42</t>
  </si>
  <si>
    <t>Indústria i energia</t>
  </si>
  <si>
    <t>43</t>
  </si>
  <si>
    <t>Comerç, turisme i petites i mitjanes empreses</t>
  </si>
  <si>
    <t>44</t>
  </si>
  <si>
    <t>Transport públic</t>
  </si>
  <si>
    <t>45</t>
  </si>
  <si>
    <t>Infraestructures</t>
  </si>
  <si>
    <t>46</t>
  </si>
  <si>
    <t>Recerca, desenvolupament i innovació</t>
  </si>
  <si>
    <t>49</t>
  </si>
  <si>
    <t>Altres actuacions de caràcter econòmic</t>
  </si>
  <si>
    <t>9</t>
  </si>
  <si>
    <t>Actuacions de caràcter general</t>
  </si>
  <si>
    <t>91</t>
  </si>
  <si>
    <t>Òrgans de govern</t>
  </si>
  <si>
    <t>92</t>
  </si>
  <si>
    <t>Serveis de caràcter general</t>
  </si>
  <si>
    <t>93</t>
  </si>
  <si>
    <t>Administració financera i tributària</t>
  </si>
  <si>
    <t>94</t>
  </si>
  <si>
    <t>Transferències a altres administracions públiques</t>
  </si>
  <si>
    <t>Illes Balears</t>
  </si>
  <si>
    <t>Espanya</t>
  </si>
  <si>
    <t>Imposts sobre la renda de persones físiques</t>
  </si>
  <si>
    <t>Imposts sobre societats</t>
  </si>
  <si>
    <t>Imposts sobre la renda no residents</t>
  </si>
  <si>
    <t>Imposts sobre el valor afegit</t>
  </si>
  <si>
    <t>Imposts especials</t>
  </si>
  <si>
    <t>Impost sobre primes d'assegurances</t>
  </si>
  <si>
    <t>Total ingressos tributaris</t>
  </si>
  <si>
    <t>Imposts directes</t>
  </si>
  <si>
    <t>Imposts indirectes</t>
  </si>
  <si>
    <t>Taxes i altres ingressos</t>
  </si>
  <si>
    <t>Illes Canàries</t>
  </si>
  <si>
    <t>Ceuta</t>
  </si>
  <si>
    <t>Melilla</t>
  </si>
  <si>
    <t>Total Nacional</t>
  </si>
  <si>
    <t>%</t>
  </si>
  <si>
    <t>Administració local</t>
  </si>
  <si>
    <t>Administració autonòmica</t>
  </si>
  <si>
    <t>Administració estatal</t>
  </si>
  <si>
    <t>Font: Elaboració pròpia</t>
  </si>
  <si>
    <t>Adm. local</t>
  </si>
  <si>
    <t>Adm. autonòmica</t>
  </si>
  <si>
    <t>Adm. estatal</t>
  </si>
  <si>
    <t>Mitjana nacional</t>
  </si>
  <si>
    <t>PIB per capita</t>
  </si>
  <si>
    <t>Càrrega fiscal per habitant</t>
  </si>
  <si>
    <t>Pressió fiscal: CF/PIB</t>
  </si>
  <si>
    <t>Pressió fiscal per habitant</t>
  </si>
  <si>
    <t>Mitjana de Mallorca</t>
  </si>
  <si>
    <t>Mitjana de Menorca</t>
  </si>
  <si>
    <t>Mitjana d'Eivissa</t>
  </si>
  <si>
    <t>e</t>
  </si>
  <si>
    <t>Alaró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</si>
  <si>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</si>
  <si>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</si>
  <si>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</si>
  <si>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</si>
  <si>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</si>
  <si>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</si>
  <si>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</si>
  <si>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</si>
  <si>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</si>
  <si>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</si>
  <si>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</si>
  <si>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</si>
  <si>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</si>
  <si>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</si>
  <si>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</si>
  <si>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</si>
  <si>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Estellencs</t>
  </si>
  <si>
    <t>Felanitx</t>
  </si>
  <si>
    <t>Fornalutx</t>
  </si>
  <si>
    <t>Lloret de Vistalegre</t>
  </si>
  <si>
    <t>Lloseta</t>
  </si>
  <si>
    <t>Llubí</t>
  </si>
  <si>
    <t>Mancor de la Vall</t>
  </si>
  <si>
    <t>Maria de la Salut</t>
  </si>
  <si>
    <t>Montuïri</t>
  </si>
  <si>
    <t>Muro</t>
  </si>
  <si>
    <t>Petra</t>
  </si>
  <si>
    <t>Porreres</t>
  </si>
  <si>
    <t>Puigpunyent</t>
  </si>
  <si>
    <t>Sencelles</t>
  </si>
  <si>
    <t>Sant Joan</t>
  </si>
  <si>
    <t>Sant Llorenç des Cardassar</t>
  </si>
  <si>
    <t>Santa Eugènia</t>
  </si>
  <si>
    <t>Santa Margalida</t>
  </si>
  <si>
    <t>Selva</t>
  </si>
  <si>
    <t>Sineu</t>
  </si>
  <si>
    <t>Son Servera</t>
  </si>
  <si>
    <t>Valldemossa</t>
  </si>
  <si>
    <t>Vilafranca de Bonany</t>
  </si>
  <si>
    <t>Alaior</t>
  </si>
  <si>
    <t>Ciutadella de Menorca</t>
  </si>
  <si>
    <t>Ferreries</t>
  </si>
  <si>
    <t>Sant Lluís</t>
  </si>
  <si>
    <t>Sant Antoni de Portmany</t>
  </si>
  <si>
    <t>Sant Josep de sa Talaia</t>
  </si>
  <si>
    <t>Sant Joan de Labritja</t>
  </si>
  <si>
    <t>Despesa de l'Estat prorratejada per a les Balears (milers d'euros)</t>
  </si>
  <si>
    <t>Despesa local i autonòmica per habitant (euros)</t>
  </si>
  <si>
    <t>Despesa estatal per habitant (euros)</t>
  </si>
  <si>
    <t>Despesa total per habitant (euros)</t>
  </si>
  <si>
    <t>Repartiment de la despesa pública per habitant</t>
  </si>
  <si>
    <t>Serveis socials i promoció social</t>
  </si>
  <si>
    <t>Foment de l'ocupació</t>
  </si>
  <si>
    <t>Investigació, desenvolupament i innovació</t>
  </si>
  <si>
    <t>Despesa per habitant (euros)</t>
  </si>
  <si>
    <t>Despesa (milers d'euros)</t>
  </si>
  <si>
    <t>Percentatge</t>
  </si>
  <si>
    <t>PIB</t>
  </si>
  <si>
    <t>Font: Elaboració pròpia sobre dades del MINHAP</t>
  </si>
  <si>
    <t>n.c.</t>
  </si>
  <si>
    <t>Santa Maria del Camí</t>
  </si>
  <si>
    <t>La dada consolidada de les entitats locals de les Balears correspon al consolidat dels consells insulars, els ajuntaments, les mancomunitats i les entitats menors.</t>
  </si>
  <si>
    <t xml:space="preserve"> </t>
  </si>
  <si>
    <t xml:space="preserve">% de var. </t>
  </si>
  <si>
    <t>Càrrega fiscal per habitant (€)</t>
  </si>
  <si>
    <t>Mitjana de Balears</t>
  </si>
  <si>
    <t>2021-2020</t>
  </si>
  <si>
    <t>Evolució del pressupost de la CAIB (2001-2021)</t>
  </si>
  <si>
    <t>2020-2021</t>
  </si>
  <si>
    <t>(%) 2020-21</t>
  </si>
  <si>
    <t>(%) 21-20</t>
  </si>
  <si>
    <t>2021-2015</t>
  </si>
  <si>
    <t>(%) 21-15</t>
  </si>
  <si>
    <t>IPC</t>
  </si>
  <si>
    <t>% var 21/20</t>
  </si>
  <si>
    <t>var. 2021-20</t>
  </si>
  <si>
    <t>% de variació absoluta 2021-2020</t>
  </si>
  <si>
    <t>% de variació relativa 2021/2020</t>
  </si>
  <si>
    <t>Distribució de l'increment</t>
  </si>
  <si>
    <t>Distribució de la despesa (%)</t>
  </si>
  <si>
    <t>Quadre IA-10.1. Evolució del pressupost de la CAIB (2001-2021)</t>
  </si>
  <si>
    <t>var. 2020-2021</t>
  </si>
  <si>
    <t>% var.  21/20</t>
  </si>
  <si>
    <t>Total despesa de l'Administració autonòmica (milers d'euros)</t>
  </si>
  <si>
    <t>2020            (miles de €)</t>
  </si>
  <si>
    <t>2021            (miles de €)</t>
  </si>
  <si>
    <t>Pressió fiscal: diferència respecte a la mitjana nacional en punts percentuals (2021)</t>
  </si>
  <si>
    <t>MITJANA NACIONAL</t>
  </si>
  <si>
    <t>Càrrega fiscal per administracions a les Illes Balears el 2021</t>
  </si>
  <si>
    <t>Ref 2020</t>
  </si>
  <si>
    <t>Índex de quadres i gràfics. I.I.10. Administracions públiques i càrrega fiscal</t>
  </si>
  <si>
    <t>Quadre I-10.1.</t>
  </si>
  <si>
    <t>Gràfic I-10.1.</t>
  </si>
  <si>
    <t>Quadre I-10.2.</t>
  </si>
  <si>
    <t>Quadre I-10.3.</t>
  </si>
  <si>
    <t>Quadre I-10.4.</t>
  </si>
  <si>
    <t>Quadre I-10.5.</t>
  </si>
  <si>
    <t>Quadre I-10.6.</t>
  </si>
  <si>
    <t>Quadre I-10.7.</t>
  </si>
  <si>
    <t>Quadre I-10.8.</t>
  </si>
  <si>
    <t>Quadre I-10.9.</t>
  </si>
  <si>
    <t>Quadre I-10.10.</t>
  </si>
  <si>
    <t>Quadre I-10.11.</t>
  </si>
  <si>
    <t>Gràfic I-10.2.</t>
  </si>
  <si>
    <t>Quadre I-10.12.</t>
  </si>
  <si>
    <t>Quadre I-10.13.</t>
  </si>
  <si>
    <t>Gràfic I-10.3.</t>
  </si>
  <si>
    <t>Quadre I-10.14.</t>
  </si>
  <si>
    <t>Quadre I-10.15.</t>
  </si>
  <si>
    <t>Quadre I-10.16.</t>
  </si>
  <si>
    <t>Quadre I-10.17.</t>
  </si>
  <si>
    <t>Quadre IA-10.1.</t>
  </si>
  <si>
    <t>Territorialització de la inversió a les Illes Balears (2015-2021)</t>
  </si>
  <si>
    <t>Evolució del deute de les comunitats autònomes (PDE) (milions d'euros) (2012-2021)</t>
  </si>
  <si>
    <t>Quadre I-10.18.</t>
  </si>
  <si>
    <t>Quadre I-10.19.</t>
  </si>
  <si>
    <t>Quadre I-10.20.</t>
  </si>
  <si>
    <t>Pressuposts consolidats dels consells insulars (en euros) (2020-2021)</t>
  </si>
  <si>
    <t>Distribució econòmica dels pressuposts inicials dels ajuntaments de les Illes Balears (euros) (2020-2021)</t>
  </si>
  <si>
    <t>Pressuposts inicials de despeses dels ajuntaments de les Illes Balears (euros) (2020-2021)</t>
  </si>
  <si>
    <t>Pressupost consolidat de l'Ajuntament de Palma (euros) (2020-2021)</t>
  </si>
  <si>
    <t>Pressupost propi de l'Ajuntament de Calvià (2020-2021)</t>
  </si>
  <si>
    <t>Anàlisi social de la despesa de les entitats locals de les Balears per programes (2020-2021)</t>
  </si>
  <si>
    <t>Ingressos de la Delegació Especial d'Hisenda de les Illes Balears (milers d'euros) (2019-2021)</t>
  </si>
  <si>
    <t>Distribució de la càrrega tributària per tipus de tribut per comunitats autònomes (2021)</t>
  </si>
  <si>
    <t>Càrrega fiscal per habitant i per comunitats autònomes (exercici 2021)</t>
  </si>
  <si>
    <t>Càrrega fiscal per habitant (euros) a les Balears per illes (2021)</t>
  </si>
  <si>
    <t>Càrrega fiscal per habitant (euros) a les Balears per illes i municipis (2021)</t>
  </si>
  <si>
    <t>Quadre I-10.6. Pressuposts consolidats dels consells insulars (en euros) (2020-2021)</t>
  </si>
  <si>
    <t>Quadre I-10.8. Distribució econòmica dels pressuposts inicials dels ajuntaments de les Illes Balears (euros) (2020-2021)</t>
  </si>
  <si>
    <t>Quadre I-10.9. Pressuposts inicials de despeses dels ajuntaments de les Illes Balears (euros) (2020-2021)</t>
  </si>
  <si>
    <t>Quadre I-10.10. Pressupost consolidat de l'Ajuntament de Palma (euros) (2020-2021)</t>
  </si>
  <si>
    <t>Quadre I-10.11. Pressupost propi de l'Ajuntament de Calvià (2020-2021)</t>
  </si>
  <si>
    <t>Quadre I-10.12. Anàlisi social de la despesa de les entitats locals de les Balears per programes (2020-2021)</t>
  </si>
  <si>
    <t>Quadre I-10.16. Distribució de la càrrega tributària per tipus de tribut per comunitats autònomes (2021)</t>
  </si>
  <si>
    <t>Quadre I-10.18. Càrrega fiscal per habitant i per comunitats autònomes (exercici 2021)</t>
  </si>
  <si>
    <t>Quadre I-10.19. Càrrega fiscal per habitant (euros) a les Balears per illes (2021)</t>
  </si>
  <si>
    <t>Quadre I-10.20. Càrrega fiscal per habitant (euros) a les Balears per illes i municipis (2021)</t>
  </si>
  <si>
    <t>Memòria sobre l'economia, el treball i la societat de les Illes Balears 2021</t>
  </si>
  <si>
    <t>Variació (milers d'euros)</t>
  </si>
  <si>
    <t>Quadre I-10.4. Territorialització de la inversió a les Illes Balears (2015-2021)</t>
  </si>
  <si>
    <t>Quadre I-10.3. Evolució del deute de les comunitats autònomes (PDE) (milions d'euros) (2012-2021)</t>
  </si>
  <si>
    <t>Quadre I-10.7. Pressuposts consolidats agregats dels consells insulars (euros) (2020-2021)</t>
  </si>
  <si>
    <t>Pressuposts consolidats agregats dels consells insulars (euros) (2020-2021)</t>
  </si>
  <si>
    <t>Quadre I-10.13. Ingressos de la Delegació Especial d'Hisenda de les Illes Balears (milers d'euros) (2019-2021)</t>
  </si>
  <si>
    <t>Distribució econòmica del pressupost dels ens públics i les societats públiques a les Illes Balears per capítols (2021)</t>
  </si>
  <si>
    <t>Distribució de la càrrega fiscal per administracions i per comunitats autònomes (2021)</t>
  </si>
  <si>
    <t>Distribució econòmica del pressupost consolidat per capítols de despesa de la CAIB (2020-2021)</t>
  </si>
  <si>
    <t>Distribució econòmica del pressupost consolidat per capítols d'ingressos de la CAIB (2020-2021)</t>
  </si>
  <si>
    <t>Quadre I-10.1. Distribució econòmica del pressupost consolidat per capítols d'ingressos de la CAIB (2020-2021)</t>
  </si>
  <si>
    <t>(%) 2021-2020</t>
  </si>
  <si>
    <t>1. Imposts directes</t>
  </si>
  <si>
    <t>2. Imposts indirectes</t>
  </si>
  <si>
    <t>3. Taxes, prestació de serveis i altres ingressos</t>
  </si>
  <si>
    <t>4. Transferències corrents</t>
  </si>
  <si>
    <t>5. Ingressos patrimonials</t>
  </si>
  <si>
    <t>6. Alienació d'inversions reals</t>
  </si>
  <si>
    <t>7. Transferències de capital</t>
  </si>
  <si>
    <t>8. Actius financers</t>
  </si>
  <si>
    <t>9. Passius financers</t>
  </si>
  <si>
    <t>Creixement net</t>
  </si>
  <si>
    <t>* PROV.</t>
  </si>
  <si>
    <t>Quadre I-10.2. Distribució econòmica del pressupost consolidat per capítols de despesa de la CAIB (2020-2021)</t>
  </si>
  <si>
    <t>1. Despeses de personal</t>
  </si>
  <si>
    <t>2. Compra de béns corrents i serveis</t>
  </si>
  <si>
    <t>3. Despeses financeres</t>
  </si>
  <si>
    <t>5. Fons de contingències</t>
  </si>
  <si>
    <t>6. Inversions reals</t>
  </si>
  <si>
    <t>Quadre I-10.5. Distribució econòmica del pressupost dels ens públics i les societats públiques a les Illes Balears per capítols (2021)</t>
  </si>
  <si>
    <t>3. Taxes, preus públics i altres</t>
  </si>
  <si>
    <t>6. Alienació d'inversions</t>
  </si>
  <si>
    <t>2. Despeses corrents</t>
  </si>
  <si>
    <t>8. Variació actius financers</t>
  </si>
  <si>
    <t>% var. 21/20</t>
  </si>
  <si>
    <t>3. Taxes i altres ingressos</t>
  </si>
  <si>
    <t>7 Transferències de capital</t>
  </si>
  <si>
    <t>8. Variació d'actius financers</t>
  </si>
  <si>
    <t>9. Variació de passius financers</t>
  </si>
  <si>
    <t>1. Remuneració de personal</t>
  </si>
  <si>
    <t>2. Compra de béns i serveis</t>
  </si>
  <si>
    <t>3. Interessos</t>
  </si>
  <si>
    <t>5. Fons de contingència i imprevists</t>
  </si>
  <si>
    <t>Var.  2021-2020</t>
  </si>
  <si>
    <t>% de var. 2020-2021</t>
  </si>
  <si>
    <t>2. Béns corrents i serveis</t>
  </si>
  <si>
    <t>Font: Elaboració pròpia sobre dades del Ministeri d'Hisenda i l'Ajuntament de Palma</t>
  </si>
  <si>
    <r>
      <t>Capítol 1:</t>
    </r>
    <r>
      <rPr>
        <b/>
        <sz val="8"/>
        <rFont val="Arial"/>
        <family val="2"/>
      </rPr>
      <t xml:space="preserve"> Imposts directes</t>
    </r>
  </si>
  <si>
    <t>La resta del capítol 1</t>
  </si>
  <si>
    <r>
      <t xml:space="preserve">Capítol 2: </t>
    </r>
    <r>
      <rPr>
        <b/>
        <sz val="8"/>
        <rFont val="Arial"/>
        <family val="2"/>
      </rPr>
      <t>Imposts indirectes</t>
    </r>
  </si>
  <si>
    <t>La resta del capítol 2</t>
  </si>
  <si>
    <r>
      <t>Capítol 3.</t>
    </r>
    <r>
      <rPr>
        <b/>
        <sz val="8"/>
        <rFont val="Arial"/>
        <family val="2"/>
      </rPr>
      <t xml:space="preserve"> Taxes i altres ingressos</t>
    </r>
  </si>
  <si>
    <t>La resta del capítol 1 augmenta per la recaptació de nous tributs mediambientals.</t>
  </si>
  <si>
    <t>var. 2019-2021</t>
  </si>
  <si>
    <t>Anàlisi de la despesa a les Illes Balears classificada per polítiques de la despesa i per programa (2021)</t>
  </si>
  <si>
    <t>Anàlisi de la despesa pública a les Illes Balears per polítiques de la despesa i per funció/programa (2021)</t>
  </si>
  <si>
    <t>Quadre I-10.15. Anàlisi de la despesa pública a les Illes Balears per polítiques de la despesa i per funció/programa (2021)</t>
  </si>
  <si>
    <t>Font: Elaboració pròpia.</t>
  </si>
  <si>
    <t>Quadre I-10.14. Anàlisi de la despesa a les Illes Balears classificada per polítiques de la despesa i per programa (2021)</t>
  </si>
  <si>
    <t>Total despesa de les entitats locals (milers d'euros)</t>
  </si>
  <si>
    <t>Total consolidat Administració autonòmica-entitats locals (milers d'euros)</t>
  </si>
  <si>
    <t>Total consolidat CAIB i entitats locals (milers d'euros)</t>
  </si>
  <si>
    <t>Càrrega fiscal per administracions a les Illes Balears (2021)</t>
  </si>
  <si>
    <t>Total nacional</t>
  </si>
  <si>
    <t>sa Pobla</t>
  </si>
  <si>
    <t>es Mercadal</t>
  </si>
  <si>
    <t>ses Salines</t>
  </si>
  <si>
    <t>es Castell</t>
  </si>
  <si>
    <t>es Migjorn Gran</t>
  </si>
  <si>
    <t>Font: Elaboració pròpia. Estimació del PIB 2021 segons la previsió de FUNCAS sobre dades de l'INE</t>
  </si>
  <si>
    <t>Font: Govern de les Illes Balears, Conselleria d'Hisenda i Relacions Exteriors</t>
  </si>
  <si>
    <t>Font: Banc d'Espanya</t>
  </si>
  <si>
    <t>Font: Elaboració pròpia segons dades del Ministeri d'Hisenda i els portals municipals de transparència</t>
  </si>
  <si>
    <t>Font: Elaboració pròpia segons dades del Ministeri d'Hisenda i portal de transparència municipal</t>
  </si>
  <si>
    <t>Font: Elaboració pròpia segons dades del Ministeri d'Hisenda i l'INE</t>
  </si>
  <si>
    <t>Font: Elaboració pròpia sobre dades de l'Agència Tributària</t>
  </si>
  <si>
    <t>Font: Elaboració pròpia a partir de dades de l'INE, el MINHAP, el MINHAFP, l'AEAT i l'Ibestat</t>
  </si>
  <si>
    <t>Font: Elaboració pròpia. Dades en euros per habitant i any</t>
  </si>
  <si>
    <t>Quadre I-10.17. Distribució de la càrrega fiscal per administracions i comunitats autònomes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</si>
</sst>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\-??\ _€_-;_-@_-"/>
    <numFmt numFmtId="165" formatCode="0.0%"/>
    <numFmt numFmtId="166" formatCode="_-* #,##0.00_-;\-* #,##0.00_-;_-* \-??_-;_-@_-"/>
    <numFmt numFmtId="167" formatCode="[$-C0A]General"/>
    <numFmt numFmtId="168" formatCode="#,##0.0"/>
    <numFmt numFmtId="169" formatCode="#,##0.0&quot; €&quot;"/>
    <numFmt numFmtId="170" formatCode="#,##0.0\ &quot;€&quot;"/>
    <numFmt numFmtId="171" formatCode="0.0"/>
  </numFmts>
  <fonts count="20" x14ac:knownFonts="1">
    <font>
      <sz val="10"/>
      <name val="Arial"/>
      <family val="2"/>
      <charset val="1"/>
    </font>
    <font>
      <sz val="8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  <charset val="1"/>
    </font>
    <font>
      <u/>
      <sz val="10"/>
      <color rgb="FF0563C1"/>
      <name val="Arial"/>
      <family val="2"/>
    </font>
    <font>
      <i/>
      <sz val="8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FFFFFF"/>
      <name val="Arial"/>
      <family val="2"/>
    </font>
    <font>
      <u/>
      <sz val="10"/>
      <color theme="10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808080"/>
        <bgColor rgb="FF8B8B8B"/>
      </patternFill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rgb="FFA6A6A6"/>
        <bgColor rgb="FF969696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8" tint="0.59999389629810485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rgb="FFFFFFCC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3" tint="0.59999389629810485"/>
        <bgColor rgb="FFBFBFBF"/>
      </patternFill>
    </fill>
    <fill>
      <patternFill patternType="solid">
        <fgColor rgb="FF808080"/>
        <bgColor rgb="FF808080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00"/>
        <bgColor rgb="FFFFC00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6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0" fontId="8" fillId="0" borderId="0"/>
    <xf numFmtId="0" fontId="11" fillId="0" borderId="0" applyNumberFormat="0" applyFill="0" applyBorder="0" applyAlignment="0" applyProtection="0"/>
    <xf numFmtId="0" fontId="12" fillId="0" borderId="0"/>
  </cellStyleXfs>
  <cellXfs count="288">
    <xf numFmtId="0" fontId="0" fillId="0" borderId="0" xfId="0"/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2" applyNumberFormat="1" applyFont="1" applyBorder="1" applyAlignment="1" applyProtection="1"/>
    <xf numFmtId="166" fontId="1" fillId="0" borderId="0" xfId="1" applyFont="1" applyBorder="1" applyAlignment="1" applyProtection="1"/>
    <xf numFmtId="4" fontId="1" fillId="0" borderId="0" xfId="0" applyNumberFormat="1" applyFont="1" applyAlignment="1"/>
    <xf numFmtId="0" fontId="1" fillId="4" borderId="1" xfId="3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/>
    <xf numFmtId="165" fontId="1" fillId="0" borderId="1" xfId="2" applyNumberFormat="1" applyFont="1" applyBorder="1" applyAlignment="1" applyProtection="1"/>
    <xf numFmtId="165" fontId="1" fillId="0" borderId="1" xfId="2" applyNumberFormat="1" applyFont="1" applyBorder="1" applyAlignment="1" applyProtection="1">
      <alignment horizontal="right"/>
    </xf>
    <xf numFmtId="0" fontId="1" fillId="4" borderId="0" xfId="0" applyFont="1" applyFill="1" applyAlignment="1"/>
    <xf numFmtId="0" fontId="1" fillId="0" borderId="0" xfId="3" applyNumberFormat="1" applyFont="1" applyBorder="1" applyProtection="1"/>
    <xf numFmtId="10" fontId="1" fillId="0" borderId="0" xfId="0" applyNumberFormat="1" applyFont="1" applyAlignment="1"/>
    <xf numFmtId="10" fontId="1" fillId="4" borderId="0" xfId="0" applyNumberFormat="1" applyFont="1" applyFill="1" applyBorder="1" applyAlignment="1"/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0" borderId="0" xfId="0" applyFont="1" applyAlignment="1"/>
    <xf numFmtId="10" fontId="1" fillId="4" borderId="0" xfId="0" applyNumberFormat="1" applyFont="1" applyFill="1" applyBorder="1" applyAlignment="1">
      <alignment horizontal="center"/>
    </xf>
    <xf numFmtId="10" fontId="1" fillId="4" borderId="0" xfId="2" applyNumberFormat="1" applyFont="1" applyFill="1" applyBorder="1" applyAlignment="1" applyProtection="1"/>
    <xf numFmtId="10" fontId="3" fillId="4" borderId="0" xfId="2" applyNumberFormat="1" applyFont="1" applyFill="1" applyBorder="1" applyAlignment="1" applyProtection="1"/>
    <xf numFmtId="9" fontId="1" fillId="4" borderId="0" xfId="2" applyFont="1" applyFill="1" applyBorder="1" applyAlignment="1" applyProtection="1"/>
    <xf numFmtId="0" fontId="1" fillId="4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2" applyFont="1" applyBorder="1" applyAlignment="1" applyProtection="1"/>
    <xf numFmtId="1" fontId="1" fillId="0" borderId="0" xfId="0" applyNumberFormat="1" applyFont="1" applyAlignment="1"/>
    <xf numFmtId="9" fontId="4" fillId="0" borderId="0" xfId="3"/>
    <xf numFmtId="0" fontId="1" fillId="4" borderId="0" xfId="3" applyNumberFormat="1" applyFont="1" applyFill="1" applyBorder="1" applyProtection="1"/>
    <xf numFmtId="0" fontId="1" fillId="0" borderId="0" xfId="0" applyFont="1"/>
    <xf numFmtId="0" fontId="1" fillId="0" borderId="0" xfId="0" applyFont="1" applyBorder="1" applyAlignment="1"/>
    <xf numFmtId="0" fontId="1" fillId="0" borderId="4" xfId="0" applyFont="1" applyBorder="1" applyAlignment="1"/>
    <xf numFmtId="165" fontId="1" fillId="0" borderId="4" xfId="2" applyNumberFormat="1" applyFont="1" applyBorder="1" applyAlignment="1" applyProtection="1"/>
    <xf numFmtId="0" fontId="1" fillId="4" borderId="0" xfId="0" applyFont="1" applyFill="1"/>
    <xf numFmtId="2" fontId="1" fillId="0" borderId="0" xfId="0" applyNumberFormat="1" applyFont="1" applyBorder="1" applyAlignment="1"/>
    <xf numFmtId="4" fontId="0" fillId="0" borderId="0" xfId="0" applyNumberFormat="1"/>
    <xf numFmtId="0" fontId="1" fillId="10" borderId="0" xfId="0" applyFont="1" applyFill="1"/>
    <xf numFmtId="4" fontId="1" fillId="0" borderId="0" xfId="0" applyNumberFormat="1" applyFont="1"/>
    <xf numFmtId="0" fontId="1" fillId="10" borderId="0" xfId="0" applyFont="1" applyFill="1" applyAlignment="1"/>
    <xf numFmtId="3" fontId="1" fillId="10" borderId="1" xfId="0" applyNumberFormat="1" applyFont="1" applyFill="1" applyBorder="1" applyAlignment="1"/>
    <xf numFmtId="0" fontId="1" fillId="11" borderId="1" xfId="3" applyNumberFormat="1" applyFont="1" applyFill="1" applyBorder="1" applyAlignment="1" applyProtection="1">
      <alignment horizontal="left"/>
    </xf>
    <xf numFmtId="0" fontId="1" fillId="12" borderId="1" xfId="3" applyNumberFormat="1" applyFont="1" applyFill="1" applyBorder="1" applyAlignment="1" applyProtection="1">
      <alignment horizontal="left"/>
    </xf>
    <xf numFmtId="0" fontId="1" fillId="13" borderId="1" xfId="3" applyNumberFormat="1" applyFont="1" applyFill="1" applyBorder="1" applyAlignment="1" applyProtection="1">
      <alignment horizontal="left"/>
    </xf>
    <xf numFmtId="0" fontId="1" fillId="14" borderId="1" xfId="3" applyNumberFormat="1" applyFont="1" applyFill="1" applyBorder="1" applyAlignment="1" applyProtection="1">
      <alignment horizontal="left"/>
    </xf>
    <xf numFmtId="0" fontId="5" fillId="8" borderId="19" xfId="3" applyNumberFormat="1" applyFont="1" applyFill="1" applyBorder="1" applyAlignment="1" applyProtection="1">
      <alignment horizontal="left"/>
    </xf>
    <xf numFmtId="3" fontId="5" fillId="8" borderId="19" xfId="3" applyNumberFormat="1" applyFont="1" applyFill="1" applyBorder="1" applyProtection="1"/>
    <xf numFmtId="0" fontId="5" fillId="0" borderId="19" xfId="3" applyNumberFormat="1" applyFont="1" applyFill="1" applyBorder="1" applyAlignment="1" applyProtection="1">
      <alignment horizontal="left"/>
    </xf>
    <xf numFmtId="0" fontId="5" fillId="3" borderId="19" xfId="3" applyNumberFormat="1" applyFont="1" applyFill="1" applyBorder="1" applyAlignment="1" applyProtection="1">
      <alignment horizontal="left"/>
    </xf>
    <xf numFmtId="3" fontId="5" fillId="3" borderId="19" xfId="3" applyNumberFormat="1" applyFont="1" applyFill="1" applyBorder="1" applyProtection="1"/>
    <xf numFmtId="0" fontId="1" fillId="0" borderId="19" xfId="0" applyFont="1" applyBorder="1" applyAlignment="1"/>
    <xf numFmtId="0" fontId="5" fillId="0" borderId="1" xfId="0" applyFont="1" applyBorder="1" applyAlignment="1"/>
    <xf numFmtId="3" fontId="1" fillId="0" borderId="0" xfId="0" applyNumberFormat="1" applyFont="1" applyAlignment="1"/>
    <xf numFmtId="165" fontId="9" fillId="0" borderId="1" xfId="2" applyNumberFormat="1" applyFont="1" applyBorder="1" applyAlignment="1" applyProtection="1"/>
    <xf numFmtId="165" fontId="10" fillId="3" borderId="19" xfId="2" applyNumberFormat="1" applyFont="1" applyFill="1" applyBorder="1" applyAlignment="1" applyProtection="1"/>
    <xf numFmtId="3" fontId="9" fillId="0" borderId="1" xfId="0" applyNumberFormat="1" applyFont="1" applyBorder="1" applyAlignment="1"/>
    <xf numFmtId="3" fontId="10" fillId="3" borderId="1" xfId="0" applyNumberFormat="1" applyFont="1" applyFill="1" applyBorder="1" applyAlignment="1"/>
    <xf numFmtId="0" fontId="3" fillId="15" borderId="19" xfId="0" applyFont="1" applyFill="1" applyBorder="1" applyAlignment="1"/>
    <xf numFmtId="0" fontId="1" fillId="10" borderId="19" xfId="0" applyFont="1" applyFill="1" applyBorder="1" applyAlignment="1"/>
    <xf numFmtId="0" fontId="5" fillId="10" borderId="19" xfId="0" applyFont="1" applyFill="1" applyBorder="1" applyAlignment="1"/>
    <xf numFmtId="0" fontId="3" fillId="16" borderId="19" xfId="0" applyFont="1" applyFill="1" applyBorder="1" applyAlignment="1"/>
    <xf numFmtId="165" fontId="1" fillId="10" borderId="1" xfId="2" applyNumberFormat="1" applyFont="1" applyFill="1" applyBorder="1" applyAlignment="1" applyProtection="1">
      <alignment horizontal="right"/>
    </xf>
    <xf numFmtId="0" fontId="7" fillId="18" borderId="1" xfId="3" applyNumberFormat="1" applyFont="1" applyFill="1" applyBorder="1" applyProtection="1"/>
    <xf numFmtId="168" fontId="7" fillId="18" borderId="1" xfId="3" applyNumberFormat="1" applyFont="1" applyFill="1" applyBorder="1" applyProtection="1"/>
    <xf numFmtId="165" fontId="7" fillId="19" borderId="1" xfId="2" applyNumberFormat="1" applyFont="1" applyFill="1" applyBorder="1" applyProtection="1"/>
    <xf numFmtId="4" fontId="7" fillId="18" borderId="1" xfId="3" applyNumberFormat="1" applyFont="1" applyFill="1" applyBorder="1" applyProtection="1"/>
    <xf numFmtId="165" fontId="7" fillId="18" borderId="1" xfId="3" applyNumberFormat="1" applyFont="1" applyFill="1" applyBorder="1" applyProtection="1"/>
    <xf numFmtId="165" fontId="5" fillId="0" borderId="1" xfId="3" applyNumberFormat="1" applyFont="1" applyBorder="1" applyProtection="1"/>
    <xf numFmtId="165" fontId="7" fillId="0" borderId="1" xfId="3" applyNumberFormat="1" applyFont="1" applyBorder="1" applyProtection="1"/>
    <xf numFmtId="165" fontId="1" fillId="0" borderId="0" xfId="0" applyNumberFormat="1" applyFont="1" applyAlignment="1"/>
    <xf numFmtId="165" fontId="5" fillId="0" borderId="0" xfId="2" applyNumberFormat="1" applyFont="1"/>
    <xf numFmtId="168" fontId="5" fillId="9" borderId="1" xfId="0" applyNumberFormat="1" applyFont="1" applyFill="1" applyBorder="1" applyAlignment="1"/>
    <xf numFmtId="168" fontId="5" fillId="10" borderId="1" xfId="0" applyNumberFormat="1" applyFont="1" applyFill="1" applyBorder="1" applyAlignment="1"/>
    <xf numFmtId="168" fontId="5" fillId="8" borderId="1" xfId="0" applyNumberFormat="1" applyFont="1" applyFill="1" applyBorder="1" applyAlignment="1"/>
    <xf numFmtId="165" fontId="5" fillId="9" borderId="1" xfId="0" applyNumberFormat="1" applyFont="1" applyFill="1" applyBorder="1" applyAlignment="1"/>
    <xf numFmtId="165" fontId="5" fillId="8" borderId="1" xfId="0" applyNumberFormat="1" applyFont="1" applyFill="1" applyBorder="1" applyAlignment="1"/>
    <xf numFmtId="171" fontId="1" fillId="0" borderId="0" xfId="0" applyNumberFormat="1" applyFont="1" applyAlignment="1"/>
    <xf numFmtId="3" fontId="6" fillId="8" borderId="19" xfId="0" applyNumberFormat="1" applyFont="1" applyFill="1" applyBorder="1" applyAlignment="1"/>
    <xf numFmtId="3" fontId="6" fillId="3" borderId="19" xfId="0" applyNumberFormat="1" applyFont="1" applyFill="1" applyBorder="1" applyAlignment="1"/>
    <xf numFmtId="165" fontId="6" fillId="8" borderId="19" xfId="2" applyNumberFormat="1" applyFont="1" applyFill="1" applyBorder="1" applyAlignment="1" applyProtection="1"/>
    <xf numFmtId="165" fontId="6" fillId="3" borderId="19" xfId="2" applyNumberFormat="1" applyFont="1" applyFill="1" applyBorder="1" applyAlignment="1" applyProtection="1"/>
    <xf numFmtId="0" fontId="5" fillId="0" borderId="0" xfId="0" applyFont="1" applyAlignment="1"/>
    <xf numFmtId="0" fontId="9" fillId="0" borderId="0" xfId="0" applyFont="1" applyAlignment="1"/>
    <xf numFmtId="0" fontId="5" fillId="0" borderId="0" xfId="3" applyNumberFormat="1" applyFont="1" applyBorder="1" applyAlignment="1" applyProtection="1"/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7" fillId="3" borderId="1" xfId="3" applyNumberFormat="1" applyFont="1" applyFill="1" applyBorder="1" applyProtection="1"/>
    <xf numFmtId="168" fontId="7" fillId="3" borderId="1" xfId="3" applyNumberFormat="1" applyFont="1" applyFill="1" applyBorder="1" applyAlignment="1" applyProtection="1">
      <alignment horizontal="right"/>
    </xf>
    <xf numFmtId="168" fontId="19" fillId="3" borderId="1" xfId="0" applyNumberFormat="1" applyFont="1" applyFill="1" applyBorder="1" applyAlignment="1">
      <alignment horizontal="right"/>
    </xf>
    <xf numFmtId="0" fontId="5" fillId="0" borderId="1" xfId="3" applyNumberFormat="1" applyFont="1" applyBorder="1" applyProtection="1"/>
    <xf numFmtId="168" fontId="5" fillId="0" borderId="1" xfId="3" applyNumberFormat="1" applyFont="1" applyBorder="1" applyAlignment="1" applyProtection="1">
      <alignment horizontal="right"/>
    </xf>
    <xf numFmtId="168" fontId="5" fillId="4" borderId="1" xfId="3" applyNumberFormat="1" applyFont="1" applyFill="1" applyBorder="1" applyAlignment="1" applyProtection="1">
      <alignment horizontal="right"/>
    </xf>
    <xf numFmtId="168" fontId="7" fillId="4" borderId="1" xfId="3" applyNumberFormat="1" applyFont="1" applyFill="1" applyBorder="1" applyAlignment="1" applyProtection="1">
      <alignment horizontal="right"/>
    </xf>
    <xf numFmtId="168" fontId="19" fillId="4" borderId="1" xfId="0" applyNumberFormat="1" applyFont="1" applyFill="1" applyBorder="1" applyAlignment="1">
      <alignment horizontal="right"/>
    </xf>
    <xf numFmtId="168" fontId="19" fillId="8" borderId="1" xfId="0" applyNumberFormat="1" applyFont="1" applyFill="1" applyBorder="1" applyAlignment="1">
      <alignment horizontal="right"/>
    </xf>
    <xf numFmtId="0" fontId="5" fillId="0" borderId="1" xfId="3" applyNumberFormat="1" applyFont="1" applyBorder="1" applyAlignment="1" applyProtection="1">
      <alignment horizontal="left" indent="1"/>
    </xf>
    <xf numFmtId="168" fontId="6" fillId="0" borderId="1" xfId="0" applyNumberFormat="1" applyFont="1" applyBorder="1" applyAlignment="1">
      <alignment horizontal="right"/>
    </xf>
    <xf numFmtId="3" fontId="5" fillId="0" borderId="1" xfId="3" applyNumberFormat="1" applyFont="1" applyBorder="1" applyProtection="1"/>
    <xf numFmtId="3" fontId="7" fillId="3" borderId="1" xfId="3" applyNumberFormat="1" applyFont="1" applyFill="1" applyBorder="1" applyProtection="1"/>
    <xf numFmtId="0" fontId="6" fillId="0" borderId="1" xfId="0" applyFont="1" applyBorder="1" applyAlignment="1"/>
    <xf numFmtId="3" fontId="6" fillId="0" borderId="1" xfId="0" applyNumberFormat="1" applyFont="1" applyBorder="1" applyAlignment="1"/>
    <xf numFmtId="168" fontId="5" fillId="0" borderId="1" xfId="3" applyNumberFormat="1" applyFont="1" applyBorder="1" applyProtection="1"/>
    <xf numFmtId="168" fontId="5" fillId="10" borderId="1" xfId="3" applyNumberFormat="1" applyFont="1" applyFill="1" applyBorder="1" applyProtection="1"/>
    <xf numFmtId="165" fontId="6" fillId="10" borderId="1" xfId="0" applyNumberFormat="1" applyFont="1" applyFill="1" applyBorder="1" applyAlignment="1"/>
    <xf numFmtId="168" fontId="7" fillId="3" borderId="1" xfId="3" applyNumberFormat="1" applyFont="1" applyFill="1" applyBorder="1" applyProtection="1"/>
    <xf numFmtId="165" fontId="7" fillId="3" borderId="1" xfId="3" applyNumberFormat="1" applyFont="1" applyFill="1" applyBorder="1" applyProtection="1"/>
    <xf numFmtId="165" fontId="5" fillId="0" borderId="1" xfId="2" applyNumberFormat="1" applyFont="1" applyBorder="1" applyProtection="1"/>
    <xf numFmtId="4" fontId="5" fillId="0" borderId="1" xfId="3" applyNumberFormat="1" applyFont="1" applyBorder="1" applyProtection="1"/>
    <xf numFmtId="2" fontId="5" fillId="0" borderId="1" xfId="0" applyNumberFormat="1" applyFont="1" applyBorder="1" applyAlignment="1"/>
    <xf numFmtId="168" fontId="5" fillId="4" borderId="1" xfId="0" applyNumberFormat="1" applyFont="1" applyFill="1" applyBorder="1" applyAlignment="1"/>
    <xf numFmtId="165" fontId="5" fillId="4" borderId="1" xfId="2" applyNumberFormat="1" applyFont="1" applyFill="1" applyBorder="1" applyAlignment="1" applyProtection="1"/>
    <xf numFmtId="2" fontId="5" fillId="0" borderId="1" xfId="0" applyNumberFormat="1" applyFont="1" applyBorder="1" applyAlignment="1">
      <alignment horizontal="left" indent="1"/>
    </xf>
    <xf numFmtId="168" fontId="6" fillId="0" borderId="1" xfId="3" applyNumberFormat="1" applyFont="1" applyBorder="1" applyAlignment="1" applyProtection="1">
      <alignment horizontal="right" wrapText="1"/>
    </xf>
    <xf numFmtId="165" fontId="5" fillId="4" borderId="1" xfId="2" applyNumberFormat="1" applyFont="1" applyFill="1" applyBorder="1" applyAlignment="1" applyProtection="1">
      <alignment horizontal="right"/>
    </xf>
    <xf numFmtId="2" fontId="7" fillId="3" borderId="1" xfId="0" applyNumberFormat="1" applyFont="1" applyFill="1" applyBorder="1" applyAlignment="1"/>
    <xf numFmtId="168" fontId="7" fillId="3" borderId="1" xfId="0" applyNumberFormat="1" applyFont="1" applyFill="1" applyBorder="1" applyAlignment="1"/>
    <xf numFmtId="165" fontId="7" fillId="3" borderId="1" xfId="2" applyNumberFormat="1" applyFont="1" applyFill="1" applyBorder="1" applyAlignment="1" applyProtection="1"/>
    <xf numFmtId="168" fontId="5" fillId="0" borderId="1" xfId="0" applyNumberFormat="1" applyFont="1" applyBorder="1" applyAlignment="1"/>
    <xf numFmtId="165" fontId="5" fillId="0" borderId="1" xfId="2" applyNumberFormat="1" applyFont="1" applyBorder="1" applyAlignment="1" applyProtection="1"/>
    <xf numFmtId="0" fontId="7" fillId="0" borderId="19" xfId="0" applyFont="1" applyBorder="1" applyAlignment="1"/>
    <xf numFmtId="0" fontId="5" fillId="0" borderId="19" xfId="0" applyFont="1" applyBorder="1" applyAlignment="1"/>
    <xf numFmtId="168" fontId="5" fillId="0" borderId="19" xfId="0" applyNumberFormat="1" applyFont="1" applyBorder="1" applyAlignment="1"/>
    <xf numFmtId="165" fontId="5" fillId="0" borderId="19" xfId="2" applyNumberFormat="1" applyFont="1" applyBorder="1" applyAlignment="1" applyProtection="1"/>
    <xf numFmtId="0" fontId="7" fillId="3" borderId="19" xfId="0" applyFont="1" applyFill="1" applyBorder="1" applyAlignment="1"/>
    <xf numFmtId="168" fontId="7" fillId="3" borderId="19" xfId="0" applyNumberFormat="1" applyFont="1" applyFill="1" applyBorder="1" applyAlignment="1"/>
    <xf numFmtId="165" fontId="7" fillId="3" borderId="19" xfId="2" applyNumberFormat="1" applyFont="1" applyFill="1" applyBorder="1" applyAlignment="1" applyProtection="1"/>
    <xf numFmtId="2" fontId="5" fillId="0" borderId="19" xfId="0" applyNumberFormat="1" applyFont="1" applyBorder="1" applyAlignment="1"/>
    <xf numFmtId="165" fontId="5" fillId="0" borderId="7" xfId="2" applyNumberFormat="1" applyFont="1" applyBorder="1" applyAlignment="1" applyProtection="1"/>
    <xf numFmtId="2" fontId="5" fillId="0" borderId="19" xfId="0" applyNumberFormat="1" applyFont="1" applyBorder="1" applyAlignment="1">
      <alignment horizontal="left" indent="1"/>
    </xf>
    <xf numFmtId="165" fontId="5" fillId="0" borderId="7" xfId="2" applyNumberFormat="1" applyFont="1" applyBorder="1" applyAlignment="1" applyProtection="1">
      <alignment horizontal="right"/>
    </xf>
    <xf numFmtId="2" fontId="7" fillId="3" borderId="19" xfId="0" applyNumberFormat="1" applyFont="1" applyFill="1" applyBorder="1" applyAlignment="1"/>
    <xf numFmtId="165" fontId="7" fillId="5" borderId="7" xfId="2" applyNumberFormat="1" applyFont="1" applyFill="1" applyBorder="1" applyAlignment="1" applyProtection="1"/>
    <xf numFmtId="2" fontId="7" fillId="3" borderId="9" xfId="0" applyNumberFormat="1" applyFont="1" applyFill="1" applyBorder="1" applyAlignment="1"/>
    <xf numFmtId="168" fontId="7" fillId="3" borderId="9" xfId="0" applyNumberFormat="1" applyFont="1" applyFill="1" applyBorder="1" applyAlignment="1"/>
    <xf numFmtId="165" fontId="7" fillId="5" borderId="10" xfId="2" applyNumberFormat="1" applyFont="1" applyFill="1" applyBorder="1" applyAlignment="1" applyProtection="1"/>
    <xf numFmtId="0" fontId="7" fillId="0" borderId="1" xfId="3" applyNumberFormat="1" applyFont="1" applyBorder="1" applyAlignment="1" applyProtection="1">
      <alignment horizontal="center"/>
    </xf>
    <xf numFmtId="0" fontId="7" fillId="0" borderId="1" xfId="0" applyFont="1" applyBorder="1" applyAlignment="1">
      <alignment vertical="center"/>
    </xf>
    <xf numFmtId="3" fontId="7" fillId="0" borderId="1" xfId="3" applyNumberFormat="1" applyFont="1" applyBorder="1" applyProtection="1"/>
    <xf numFmtId="169" fontId="7" fillId="0" borderId="1" xfId="3" applyNumberFormat="1" applyFont="1" applyBorder="1" applyProtection="1"/>
    <xf numFmtId="0" fontId="5" fillId="4" borderId="1" xfId="3" applyNumberFormat="1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left" vertical="center" indent="1"/>
    </xf>
    <xf numFmtId="3" fontId="5" fillId="4" borderId="1" xfId="3" applyNumberFormat="1" applyFont="1" applyFill="1" applyBorder="1" applyProtection="1"/>
    <xf numFmtId="165" fontId="5" fillId="4" borderId="1" xfId="3" applyNumberFormat="1" applyFont="1" applyFill="1" applyBorder="1" applyProtection="1"/>
    <xf numFmtId="169" fontId="5" fillId="0" borderId="1" xfId="3" applyNumberFormat="1" applyFont="1" applyBorder="1" applyProtection="1"/>
    <xf numFmtId="3" fontId="7" fillId="5" borderId="1" xfId="3" applyNumberFormat="1" applyFont="1" applyFill="1" applyBorder="1" applyProtection="1"/>
    <xf numFmtId="165" fontId="7" fillId="5" borderId="1" xfId="3" applyNumberFormat="1" applyFont="1" applyFill="1" applyBorder="1" applyProtection="1"/>
    <xf numFmtId="169" fontId="7" fillId="5" borderId="1" xfId="3" applyNumberFormat="1" applyFont="1" applyFill="1" applyBorder="1" applyProtection="1"/>
    <xf numFmtId="0" fontId="5" fillId="0" borderId="1" xfId="0" applyFont="1" applyBorder="1" applyAlignment="1">
      <alignment horizontal="left" indent="1"/>
    </xf>
    <xf numFmtId="0" fontId="7" fillId="3" borderId="1" xfId="0" applyFont="1" applyFill="1" applyBorder="1" applyAlignment="1"/>
    <xf numFmtId="0" fontId="5" fillId="10" borderId="11" xfId="0" applyFont="1" applyFill="1" applyBorder="1" applyAlignment="1"/>
    <xf numFmtId="3" fontId="5" fillId="0" borderId="1" xfId="0" applyNumberFormat="1" applyFont="1" applyBorder="1" applyAlignment="1"/>
    <xf numFmtId="3" fontId="5" fillId="0" borderId="19" xfId="0" applyNumberFormat="1" applyFont="1" applyBorder="1" applyAlignment="1"/>
    <xf numFmtId="3" fontId="7" fillId="3" borderId="1" xfId="0" applyNumberFormat="1" applyFont="1" applyFill="1" applyBorder="1" applyAlignment="1"/>
    <xf numFmtId="3" fontId="7" fillId="3" borderId="19" xfId="0" applyNumberFormat="1" applyFont="1" applyFill="1" applyBorder="1" applyAlignment="1"/>
    <xf numFmtId="0" fontId="5" fillId="0" borderId="0" xfId="0" applyFont="1"/>
    <xf numFmtId="0" fontId="5" fillId="0" borderId="1" xfId="0" applyFont="1" applyBorder="1"/>
    <xf numFmtId="0" fontId="7" fillId="3" borderId="1" xfId="0" applyFont="1" applyFill="1" applyBorder="1"/>
    <xf numFmtId="3" fontId="7" fillId="3" borderId="1" xfId="0" applyNumberFormat="1" applyFont="1" applyFill="1" applyBorder="1"/>
    <xf numFmtId="170" fontId="7" fillId="3" borderId="1" xfId="0" applyNumberFormat="1" applyFont="1" applyFill="1" applyBorder="1"/>
    <xf numFmtId="0" fontId="5" fillId="6" borderId="1" xfId="0" applyFont="1" applyFill="1" applyBorder="1"/>
    <xf numFmtId="3" fontId="5" fillId="6" borderId="1" xfId="0" applyNumberFormat="1" applyFont="1" applyFill="1" applyBorder="1"/>
    <xf numFmtId="165" fontId="5" fillId="6" borderId="1" xfId="3" applyNumberFormat="1" applyFont="1" applyFill="1" applyBorder="1" applyProtection="1"/>
    <xf numFmtId="170" fontId="5" fillId="6" borderId="1" xfId="0" applyNumberFormat="1" applyFont="1" applyFill="1" applyBorder="1"/>
    <xf numFmtId="3" fontId="5" fillId="0" borderId="1" xfId="0" applyNumberFormat="1" applyFont="1" applyBorder="1"/>
    <xf numFmtId="170" fontId="5" fillId="0" borderId="1" xfId="0" applyNumberFormat="1" applyFont="1" applyBorder="1"/>
    <xf numFmtId="3" fontId="7" fillId="5" borderId="1" xfId="0" applyNumberFormat="1" applyFont="1" applyFill="1" applyBorder="1"/>
    <xf numFmtId="170" fontId="7" fillId="5" borderId="1" xfId="0" applyNumberFormat="1" applyFont="1" applyFill="1" applyBorder="1"/>
    <xf numFmtId="170" fontId="5" fillId="10" borderId="1" xfId="0" applyNumberFormat="1" applyFont="1" applyFill="1" applyBorder="1"/>
    <xf numFmtId="165" fontId="6" fillId="4" borderId="19" xfId="0" applyNumberFormat="1" applyFont="1" applyFill="1" applyBorder="1" applyAlignment="1"/>
    <xf numFmtId="165" fontId="19" fillId="3" borderId="19" xfId="0" applyNumberFormat="1" applyFont="1" applyFill="1" applyBorder="1" applyAlignment="1"/>
    <xf numFmtId="0" fontId="18" fillId="0" borderId="1" xfId="0" applyFont="1" applyBorder="1" applyAlignment="1"/>
    <xf numFmtId="165" fontId="6" fillId="0" borderId="1" xfId="0" applyNumberFormat="1" applyFont="1" applyBorder="1" applyAlignment="1"/>
    <xf numFmtId="165" fontId="19" fillId="3" borderId="1" xfId="0" applyNumberFormat="1" applyFont="1" applyFill="1" applyBorder="1" applyAlignment="1"/>
    <xf numFmtId="0" fontId="19" fillId="3" borderId="1" xfId="0" applyFont="1" applyFill="1" applyBorder="1" applyAlignment="1"/>
    <xf numFmtId="165" fontId="5" fillId="4" borderId="1" xfId="0" applyNumberFormat="1" applyFont="1" applyFill="1" applyBorder="1" applyAlignment="1"/>
    <xf numFmtId="0" fontId="6" fillId="4" borderId="19" xfId="0" applyFont="1" applyFill="1" applyBorder="1" applyAlignment="1"/>
    <xf numFmtId="168" fontId="6" fillId="4" borderId="19" xfId="0" applyNumberFormat="1" applyFont="1" applyFill="1" applyBorder="1" applyAlignment="1"/>
    <xf numFmtId="168" fontId="19" fillId="7" borderId="19" xfId="0" applyNumberFormat="1" applyFont="1" applyFill="1" applyBorder="1" applyAlignment="1"/>
    <xf numFmtId="168" fontId="19" fillId="3" borderId="1" xfId="0" applyNumberFormat="1" applyFont="1" applyFill="1" applyBorder="1" applyAlignment="1"/>
    <xf numFmtId="165" fontId="7" fillId="3" borderId="1" xfId="0" applyNumberFormat="1" applyFont="1" applyFill="1" applyBorder="1" applyAlignment="1"/>
    <xf numFmtId="168" fontId="6" fillId="0" borderId="1" xfId="0" applyNumberFormat="1" applyFont="1" applyBorder="1" applyAlignment="1"/>
    <xf numFmtId="165" fontId="5" fillId="0" borderId="1" xfId="0" applyNumberFormat="1" applyFont="1" applyBorder="1" applyAlignment="1"/>
    <xf numFmtId="168" fontId="6" fillId="9" borderId="1" xfId="0" applyNumberFormat="1" applyFont="1" applyFill="1" applyBorder="1" applyAlignment="1"/>
    <xf numFmtId="0" fontId="7" fillId="0" borderId="19" xfId="3" applyNumberFormat="1" applyFont="1" applyBorder="1" applyProtection="1"/>
    <xf numFmtId="0" fontId="5" fillId="0" borderId="19" xfId="3" applyNumberFormat="1" applyFont="1" applyBorder="1" applyAlignment="1" applyProtection="1">
      <alignment horizontal="left"/>
    </xf>
    <xf numFmtId="3" fontId="5" fillId="0" borderId="19" xfId="3" applyNumberFormat="1" applyFont="1" applyBorder="1" applyProtection="1"/>
    <xf numFmtId="165" fontId="5" fillId="0" borderId="19" xfId="0" applyNumberFormat="1" applyFont="1" applyBorder="1" applyAlignment="1"/>
    <xf numFmtId="3" fontId="6" fillId="0" borderId="19" xfId="0" applyNumberFormat="1" applyFont="1" applyBorder="1" applyAlignment="1"/>
    <xf numFmtId="0" fontId="5" fillId="20" borderId="1" xfId="3" applyNumberFormat="1" applyFont="1" applyFill="1" applyBorder="1" applyAlignment="1" applyProtection="1">
      <alignment horizontal="center"/>
    </xf>
    <xf numFmtId="49" fontId="5" fillId="20" borderId="1" xfId="3" applyNumberFormat="1" applyFont="1" applyFill="1" applyBorder="1" applyAlignment="1" applyProtection="1">
      <alignment horizontal="center"/>
    </xf>
    <xf numFmtId="0" fontId="5" fillId="20" borderId="1" xfId="0" applyFont="1" applyFill="1" applyBorder="1" applyAlignment="1">
      <alignment horizontal="center"/>
    </xf>
    <xf numFmtId="10" fontId="5" fillId="20" borderId="1" xfId="0" applyNumberFormat="1" applyFont="1" applyFill="1" applyBorder="1" applyAlignment="1">
      <alignment horizontal="center"/>
    </xf>
    <xf numFmtId="0" fontId="5" fillId="20" borderId="19" xfId="0" applyFont="1" applyFill="1" applyBorder="1" applyAlignment="1">
      <alignment horizontal="center"/>
    </xf>
    <xf numFmtId="10" fontId="5" fillId="20" borderId="19" xfId="0" applyNumberFormat="1" applyFont="1" applyFill="1" applyBorder="1" applyAlignment="1">
      <alignment horizontal="center"/>
    </xf>
    <xf numFmtId="0" fontId="5" fillId="20" borderId="7" xfId="0" applyFont="1" applyFill="1" applyBorder="1" applyAlignment="1">
      <alignment horizontal="center"/>
    </xf>
    <xf numFmtId="0" fontId="5" fillId="20" borderId="1" xfId="3" applyNumberFormat="1" applyFont="1" applyFill="1" applyBorder="1" applyAlignment="1" applyProtection="1">
      <alignment horizontal="center" vertical="center" wrapText="1"/>
    </xf>
    <xf numFmtId="3" fontId="5" fillId="20" borderId="1" xfId="3" applyNumberFormat="1" applyFont="1" applyFill="1" applyBorder="1" applyAlignment="1" applyProtection="1">
      <alignment horizontal="center" vertical="center" wrapText="1"/>
    </xf>
    <xf numFmtId="0" fontId="9" fillId="20" borderId="1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 vertical="center" wrapText="1"/>
    </xf>
    <xf numFmtId="0" fontId="5" fillId="20" borderId="19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/>
    </xf>
    <xf numFmtId="0" fontId="7" fillId="21" borderId="19" xfId="0" applyFont="1" applyFill="1" applyBorder="1" applyAlignment="1"/>
    <xf numFmtId="168" fontId="7" fillId="21" borderId="1" xfId="0" applyNumberFormat="1" applyFont="1" applyFill="1" applyBorder="1" applyAlignment="1"/>
    <xf numFmtId="165" fontId="7" fillId="21" borderId="1" xfId="0" applyNumberFormat="1" applyFont="1" applyFill="1" applyBorder="1" applyAlignment="1"/>
    <xf numFmtId="0" fontId="7" fillId="22" borderId="19" xfId="0" applyFont="1" applyFill="1" applyBorder="1" applyAlignment="1"/>
    <xf numFmtId="168" fontId="5" fillId="23" borderId="1" xfId="0" applyNumberFormat="1" applyFont="1" applyFill="1" applyBorder="1" applyAlignment="1"/>
    <xf numFmtId="168" fontId="5" fillId="24" borderId="1" xfId="0" applyNumberFormat="1" applyFont="1" applyFill="1" applyBorder="1" applyAlignment="1"/>
    <xf numFmtId="165" fontId="5" fillId="23" borderId="1" xfId="0" applyNumberFormat="1" applyFont="1" applyFill="1" applyBorder="1" applyAlignment="1"/>
    <xf numFmtId="0" fontId="6" fillId="20" borderId="19" xfId="0" applyFont="1" applyFill="1" applyBorder="1" applyAlignment="1">
      <alignment horizontal="center" vertical="center" wrapText="1"/>
    </xf>
    <xf numFmtId="0" fontId="5" fillId="20" borderId="19" xfId="3" applyNumberFormat="1" applyFont="1" applyFill="1" applyBorder="1" applyAlignment="1" applyProtection="1">
      <alignment horizontal="center" vertical="center" wrapText="1"/>
    </xf>
    <xf numFmtId="0" fontId="5" fillId="20" borderId="5" xfId="3" applyNumberFormat="1" applyFont="1" applyFill="1" applyBorder="1" applyAlignment="1" applyProtection="1">
      <alignment horizontal="center" vertical="center" wrapText="1"/>
    </xf>
    <xf numFmtId="167" fontId="17" fillId="0" borderId="20" xfId="5" applyNumberFormat="1" applyFont="1" applyFill="1" applyBorder="1"/>
    <xf numFmtId="0" fontId="8" fillId="0" borderId="20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7" fontId="17" fillId="0" borderId="20" xfId="5" quotePrefix="1" applyNumberFormat="1" applyFont="1" applyFill="1" applyBorder="1"/>
    <xf numFmtId="167" fontId="17" fillId="0" borderId="21" xfId="5" applyNumberFormat="1" applyFont="1" applyFill="1" applyBorder="1"/>
    <xf numFmtId="167" fontId="17" fillId="0" borderId="22" xfId="5" applyNumberFormat="1" applyFont="1" applyFill="1" applyBorder="1"/>
    <xf numFmtId="167" fontId="17" fillId="0" borderId="23" xfId="5" applyNumberFormat="1" applyFont="1" applyFill="1" applyBorder="1"/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21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167" fontId="17" fillId="0" borderId="21" xfId="5" quotePrefix="1" applyNumberFormat="1" applyFont="1" applyFill="1" applyBorder="1"/>
    <xf numFmtId="167" fontId="17" fillId="0" borderId="22" xfId="5" quotePrefix="1" applyNumberFormat="1" applyFont="1" applyFill="1" applyBorder="1"/>
    <xf numFmtId="167" fontId="17" fillId="0" borderId="23" xfId="5" quotePrefix="1" applyNumberFormat="1" applyFont="1" applyFill="1" applyBorder="1"/>
    <xf numFmtId="0" fontId="16" fillId="17" borderId="20" xfId="0" applyFont="1" applyFill="1" applyBorder="1" applyAlignment="1">
      <alignment horizontal="center"/>
    </xf>
    <xf numFmtId="0" fontId="8" fillId="0" borderId="20" xfId="0" applyFont="1" applyBorder="1" applyAlignment="1">
      <alignment horizontal="left" wrapText="1"/>
    </xf>
    <xf numFmtId="0" fontId="9" fillId="0" borderId="2" xfId="3" applyNumberFormat="1" applyFont="1" applyBorder="1" applyAlignment="1" applyProtection="1">
      <alignment horizontal="center"/>
    </xf>
    <xf numFmtId="0" fontId="18" fillId="2" borderId="1" xfId="3" applyNumberFormat="1" applyFont="1" applyFill="1" applyBorder="1" applyAlignment="1" applyProtection="1">
      <alignment horizontal="center" wrapText="1"/>
    </xf>
    <xf numFmtId="0" fontId="5" fillId="0" borderId="1" xfId="3" applyNumberFormat="1" applyFont="1" applyBorder="1" applyProtection="1"/>
    <xf numFmtId="0" fontId="5" fillId="20" borderId="1" xfId="3" applyNumberFormat="1" applyFont="1" applyFill="1" applyBorder="1" applyAlignment="1" applyProtection="1">
      <alignment horizontal="center"/>
    </xf>
    <xf numFmtId="13" fontId="5" fillId="20" borderId="1" xfId="3" applyNumberFormat="1" applyFont="1" applyFill="1" applyBorder="1" applyAlignment="1" applyProtection="1">
      <alignment horizontal="center"/>
    </xf>
    <xf numFmtId="0" fontId="6" fillId="20" borderId="1" xfId="0" applyFont="1" applyFill="1" applyBorder="1" applyAlignment="1">
      <alignment horizontal="center"/>
    </xf>
    <xf numFmtId="0" fontId="9" fillId="0" borderId="0" xfId="3" applyNumberFormat="1" applyFont="1" applyBorder="1" applyAlignment="1" applyProtection="1">
      <alignment horizontal="center"/>
    </xf>
    <xf numFmtId="0" fontId="18" fillId="2" borderId="3" xfId="3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0" fontId="18" fillId="2" borderId="1" xfId="3" applyNumberFormat="1" applyFont="1" applyFill="1" applyBorder="1" applyAlignment="1" applyProtection="1">
      <alignment horizontal="center"/>
    </xf>
    <xf numFmtId="0" fontId="5" fillId="0" borderId="1" xfId="0" applyFont="1" applyBorder="1" applyAlignment="1"/>
    <xf numFmtId="0" fontId="5" fillId="20" borderId="17" xfId="3" applyNumberFormat="1" applyFont="1" applyFill="1" applyBorder="1" applyAlignment="1" applyProtection="1">
      <alignment horizontal="center"/>
    </xf>
    <xf numFmtId="0" fontId="5" fillId="20" borderId="18" xfId="3" applyNumberFormat="1" applyFont="1" applyFill="1" applyBorder="1" applyAlignment="1" applyProtection="1">
      <alignment horizontal="center"/>
    </xf>
    <xf numFmtId="0" fontId="5" fillId="20" borderId="16" xfId="3" applyNumberFormat="1" applyFont="1" applyFill="1" applyBorder="1" applyAlignment="1" applyProtection="1">
      <alignment horizontal="center"/>
    </xf>
    <xf numFmtId="0" fontId="5" fillId="20" borderId="1" xfId="3" applyNumberFormat="1" applyFont="1" applyFill="1" applyBorder="1" applyAlignment="1" applyProtection="1">
      <alignment horizontal="left" vertical="center"/>
    </xf>
    <xf numFmtId="0" fontId="5" fillId="20" borderId="1" xfId="3" applyNumberFormat="1" applyFont="1" applyFill="1" applyBorder="1" applyAlignment="1" applyProtection="1">
      <alignment vertical="center"/>
    </xf>
    <xf numFmtId="0" fontId="5" fillId="20" borderId="1" xfId="0" applyFont="1" applyFill="1" applyBorder="1" applyAlignment="1">
      <alignment vertical="center"/>
    </xf>
    <xf numFmtId="0" fontId="5" fillId="20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5" fillId="20" borderId="1" xfId="0" applyFont="1" applyFill="1" applyBorder="1" applyAlignment="1">
      <alignment horizontal="center"/>
    </xf>
    <xf numFmtId="2" fontId="5" fillId="20" borderId="1" xfId="0" applyNumberFormat="1" applyFont="1" applyFill="1" applyBorder="1" applyAlignment="1">
      <alignment vertical="center"/>
    </xf>
    <xf numFmtId="2" fontId="5" fillId="0" borderId="17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18" fillId="2" borderId="1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/>
    </xf>
    <xf numFmtId="0" fontId="5" fillId="0" borderId="15" xfId="0" applyFont="1" applyBorder="1" applyAlignment="1"/>
    <xf numFmtId="0" fontId="5" fillId="0" borderId="16" xfId="0" applyFont="1" applyBorder="1" applyAlignment="1"/>
    <xf numFmtId="0" fontId="5" fillId="20" borderId="12" xfId="0" applyFont="1" applyFill="1" applyBorder="1" applyAlignment="1">
      <alignment vertical="center"/>
    </xf>
    <xf numFmtId="0" fontId="5" fillId="20" borderId="13" xfId="0" applyFont="1" applyFill="1" applyBorder="1" applyAlignment="1">
      <alignment vertical="center"/>
    </xf>
    <xf numFmtId="0" fontId="5" fillId="20" borderId="1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7" fillId="3" borderId="1" xfId="3" applyNumberFormat="1" applyFont="1" applyFill="1" applyBorder="1" applyProtection="1"/>
    <xf numFmtId="0" fontId="1" fillId="0" borderId="0" xfId="3" applyNumberFormat="1" applyFont="1" applyBorder="1" applyAlignment="1" applyProtection="1">
      <alignment horizontal="center"/>
    </xf>
    <xf numFmtId="0" fontId="7" fillId="0" borderId="1" xfId="3" applyNumberFormat="1" applyFont="1" applyBorder="1" applyProtection="1"/>
    <xf numFmtId="3" fontId="5" fillId="20" borderId="1" xfId="3" applyNumberFormat="1" applyFont="1" applyFill="1" applyBorder="1" applyAlignment="1" applyProtection="1">
      <alignment horizontal="center" vertical="center" wrapText="1"/>
    </xf>
    <xf numFmtId="0" fontId="5" fillId="20" borderId="1" xfId="3" applyNumberFormat="1" applyFont="1" applyFill="1" applyBorder="1" applyAlignment="1" applyProtection="1">
      <alignment horizontal="center" vertical="center" wrapText="1"/>
    </xf>
    <xf numFmtId="0" fontId="5" fillId="20" borderId="17" xfId="0" applyFont="1" applyFill="1" applyBorder="1" applyAlignment="1">
      <alignment horizontal="center"/>
    </xf>
    <xf numFmtId="0" fontId="5" fillId="20" borderId="18" xfId="0" applyFont="1" applyFill="1" applyBorder="1" applyAlignment="1">
      <alignment horizontal="center"/>
    </xf>
    <xf numFmtId="0" fontId="5" fillId="20" borderId="1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2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6" fillId="0" borderId="19" xfId="0" applyFont="1" applyBorder="1" applyAlignment="1"/>
    <xf numFmtId="0" fontId="5" fillId="20" borderId="19" xfId="0" applyFont="1" applyFill="1" applyBorder="1" applyAlignment="1">
      <alignment horizontal="center"/>
    </xf>
    <xf numFmtId="0" fontId="6" fillId="20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6" fillId="0" borderId="1" xfId="0" applyFont="1" applyBorder="1" applyAlignment="1"/>
    <xf numFmtId="0" fontId="6" fillId="2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8" fillId="2" borderId="19" xfId="3" applyNumberFormat="1" applyFont="1" applyFill="1" applyBorder="1" applyAlignment="1" applyProtection="1">
      <alignment horizontal="center"/>
    </xf>
    <xf numFmtId="0" fontId="9" fillId="0" borderId="2" xfId="3" applyNumberFormat="1" applyFont="1" applyBorder="1" applyAlignment="1" applyProtection="1">
      <alignment horizontal="center" wrapText="1"/>
    </xf>
    <xf numFmtId="0" fontId="9" fillId="0" borderId="0" xfId="3" applyNumberFormat="1" applyFont="1" applyBorder="1" applyAlignment="1" applyProtection="1">
      <alignment horizontal="center" wrapText="1"/>
    </xf>
    <xf numFmtId="0" fontId="6" fillId="4" borderId="1" xfId="3" applyNumberFormat="1" applyFont="1" applyFill="1" applyBorder="1" applyAlignment="1" applyProtection="1">
      <alignment horizontal="left"/>
    </xf>
    <xf numFmtId="0" fontId="19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7">
    <cellStyle name="Excel Built-in Hyperlink" xfId="6" xr:uid="{805131AF-F595-4146-8A5E-E9C240F58C5C}"/>
    <cellStyle name="Hipervínculo" xfId="5" builtinId="8"/>
    <cellStyle name="Millares" xfId="1" builtinId="3"/>
    <cellStyle name="Normal" xfId="0" builtinId="0"/>
    <cellStyle name="Normal 2" xfId="4" xr:uid="{00000000-0005-0000-0000-000002000000}"/>
    <cellStyle name="Porcentaje" xfId="2" builtinId="5"/>
    <cellStyle name="Texto explicativo" xfId="3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8B8B"/>
      <rgbColor rgb="FF800080"/>
      <rgbColor rgb="FF008080"/>
      <rgbColor rgb="FFC0C0C0"/>
      <rgbColor rgb="FF808080"/>
      <rgbColor rgb="FFA6A6A6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558ED5"/>
      <rgbColor rgb="FF33CCCC"/>
      <rgbColor rgb="FF92D050"/>
      <rgbColor rgb="FFFFCC00"/>
      <rgbColor rgb="FFFFC000"/>
      <rgbColor rgb="FFFF6600"/>
      <rgbColor rgb="FF4F81BD"/>
      <rgbColor rgb="FF969696"/>
      <rgbColor rgb="FF003366"/>
      <rgbColor rgb="FF98B855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pPr>
              <a:defRPr sz="7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r>
              <a:rPr lang="ca-ES" sz="7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rPr>
              <a:t>Gràfic I-10.1. Evolució del pressupost de la CAIB i percentatge de variació interanual (2001-2020) </a:t>
            </a:r>
          </a:p>
        </c:rich>
      </c:tx>
      <c:layout>
        <c:manualLayout>
          <c:xMode val="edge"/>
          <c:yMode val="edge"/>
          <c:x val="0.15368903184459948"/>
          <c:y val="6.0025815597302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765845070422504E-2"/>
          <c:y val="0.253261797341788"/>
          <c:w val="0.83786311619718301"/>
          <c:h val="0.593220338983051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'G1'!$B$2</c:f>
              <c:strCache>
                <c:ptCount val="1"/>
                <c:pt idx="0">
                  <c:v>Despesa (milions d'euros)</c:v>
                </c:pt>
              </c:strCache>
            </c:strRef>
          </c:tx>
          <c:spPr>
            <a:solidFill>
              <a:srgbClr val="A6A6A6"/>
            </a:solidFill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'G1'!$A$3:$A$23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'G1'!$B$3:$B$23</c:f>
              <c:numCache>
                <c:formatCode>#,##0</c:formatCode>
                <c:ptCount val="21"/>
                <c:pt idx="0">
                  <c:v>950.49198000000001</c:v>
                </c:pt>
                <c:pt idx="1">
                  <c:v>1069.8025399999999</c:v>
                </c:pt>
                <c:pt idx="2">
                  <c:v>1796.61</c:v>
                </c:pt>
                <c:pt idx="3">
                  <c:v>1859.18568</c:v>
                </c:pt>
                <c:pt idx="4">
                  <c:v>2587.788967</c:v>
                </c:pt>
                <c:pt idx="5">
                  <c:v>2713.9744599999999</c:v>
                </c:pt>
                <c:pt idx="6">
                  <c:v>2894.3845900000001</c:v>
                </c:pt>
                <c:pt idx="7">
                  <c:v>3787.2672600000001</c:v>
                </c:pt>
                <c:pt idx="8">
                  <c:v>4037.4755500000001</c:v>
                </c:pt>
                <c:pt idx="9">
                  <c:v>3844.7977639999999</c:v>
                </c:pt>
                <c:pt idx="10">
                  <c:v>3384.4302750000002</c:v>
                </c:pt>
                <c:pt idx="11">
                  <c:v>3674.9023219999999</c:v>
                </c:pt>
                <c:pt idx="12">
                  <c:v>3574.2468709999998</c:v>
                </c:pt>
                <c:pt idx="13">
                  <c:v>3850.9335179999998</c:v>
                </c:pt>
                <c:pt idx="14">
                  <c:v>4035.5919520000002</c:v>
                </c:pt>
                <c:pt idx="15">
                  <c:v>4240.8966979999996</c:v>
                </c:pt>
                <c:pt idx="16">
                  <c:v>4668.2358940000004</c:v>
                </c:pt>
                <c:pt idx="17">
                  <c:v>5008.8091000000004</c:v>
                </c:pt>
                <c:pt idx="18">
                  <c:v>5457.7486399999998</c:v>
                </c:pt>
                <c:pt idx="19">
                  <c:v>5893.1236920000001</c:v>
                </c:pt>
                <c:pt idx="20">
                  <c:v>5881.5217199999997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4-4C35-858E-4AA099610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220899200"/>
        <c:axId val="220900736"/>
      </c:barChart>
      <c:lineChart>
        <c:grouping val="standard"/>
        <c:varyColors val="1"/>
        <c:ser>
          <c:idx val="1"/>
          <c:order val="1"/>
          <c:tx>
            <c:strRef>
              <c:f>'G1'!$C$2</c:f>
              <c:strCache>
                <c:ptCount val="1"/>
                <c:pt idx="0">
                  <c:v>% de variació interanual</c:v>
                </c:pt>
              </c:strCache>
            </c:strRef>
          </c:tx>
          <c:spPr>
            <a:ln w="2844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'G1'!$A$3:$A$22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'G1'!$C$3:$C$23</c:f>
              <c:numCache>
                <c:formatCode>0.0%</c:formatCode>
                <c:ptCount val="21"/>
                <c:pt idx="0">
                  <c:v>7.08461330850918E-2</c:v>
                </c:pt>
                <c:pt idx="1">
                  <c:v>0.12552505703414801</c:v>
                </c:pt>
                <c:pt idx="2">
                  <c:v>0.67938468345756597</c:v>
                </c:pt>
                <c:pt idx="3">
                  <c:v>3.4829862908477602E-2</c:v>
                </c:pt>
                <c:pt idx="4">
                  <c:v>0.39189377093308903</c:v>
                </c:pt>
                <c:pt idx="5">
                  <c:v>4.8761894655685797E-2</c:v>
                </c:pt>
                <c:pt idx="6">
                  <c:v>6.6474512807316505E-2</c:v>
                </c:pt>
                <c:pt idx="7">
                  <c:v>0.30848791590615798</c:v>
                </c:pt>
                <c:pt idx="8">
                  <c:v>6.6065654421230399E-2</c:v>
                </c:pt>
                <c:pt idx="9">
                  <c:v>-4.77223412535588E-2</c:v>
                </c:pt>
                <c:pt idx="10">
                  <c:v>-0.119737764443831</c:v>
                </c:pt>
                <c:pt idx="11">
                  <c:v>8.5825980563301901E-2</c:v>
                </c:pt>
                <c:pt idx="12">
                  <c:v>-2.7389966366567299E-2</c:v>
                </c:pt>
                <c:pt idx="13">
                  <c:v>7.7411174153896298E-2</c:v>
                </c:pt>
                <c:pt idx="14">
                  <c:v>4.7951602679420703E-2</c:v>
                </c:pt>
                <c:pt idx="15">
                  <c:v>5.0873514577769202E-2</c:v>
                </c:pt>
                <c:pt idx="16">
                  <c:v>0.100766235641046</c:v>
                </c:pt>
                <c:pt idx="17">
                  <c:v>7.2955440498996896E-2</c:v>
                </c:pt>
                <c:pt idx="18">
                  <c:v>8.9629996080305793E-2</c:v>
                </c:pt>
                <c:pt idx="19">
                  <c:v>7.9771913423993882E-2</c:v>
                </c:pt>
                <c:pt idx="20">
                  <c:v>-1.9687304401484447E-3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144-4C35-858E-4AA099610743}"/>
            </c:ext>
          </c:extLst>
        </c:ser>
        <c:ser>
          <c:idx val="2"/>
          <c:order val="2"/>
          <c:tx>
            <c:strRef>
              <c:f>'G1'!$F$2</c:f>
              <c:strCache>
                <c:ptCount val="1"/>
                <c:pt idx="0">
                  <c:v>% sobre el PIB</c:v>
                </c:pt>
              </c:strCache>
            </c:strRef>
          </c:tx>
          <c:spPr>
            <a:ln w="2844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'G1'!$A$3:$A$22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'G1'!$F$3:$F$23</c:f>
              <c:numCache>
                <c:formatCode>0.0%</c:formatCode>
                <c:ptCount val="21"/>
                <c:pt idx="0">
                  <c:v>5.3429321798273602E-2</c:v>
                </c:pt>
                <c:pt idx="1">
                  <c:v>5.6964663887981902E-2</c:v>
                </c:pt>
                <c:pt idx="2">
                  <c:v>9.1231135125121904E-2</c:v>
                </c:pt>
                <c:pt idx="3">
                  <c:v>8.8600785432569107E-2</c:v>
                </c:pt>
                <c:pt idx="4">
                  <c:v>0.114490369990671</c:v>
                </c:pt>
                <c:pt idx="5">
                  <c:v>0.111094014952151</c:v>
                </c:pt>
                <c:pt idx="6">
                  <c:v>0.110705674789945</c:v>
                </c:pt>
                <c:pt idx="7">
                  <c:v>0.13926918952265099</c:v>
                </c:pt>
                <c:pt idx="8">
                  <c:v>0.15437822745650301</c:v>
                </c:pt>
                <c:pt idx="9">
                  <c:v>0.146778493609245</c:v>
                </c:pt>
                <c:pt idx="10">
                  <c:v>0.13001988217639401</c:v>
                </c:pt>
                <c:pt idx="11">
                  <c:v>0.143290558905351</c:v>
                </c:pt>
                <c:pt idx="12">
                  <c:v>0.14012265534712701</c:v>
                </c:pt>
                <c:pt idx="13">
                  <c:v>0.146419508525367</c:v>
                </c:pt>
                <c:pt idx="14">
                  <c:v>0.14612316263497699</c:v>
                </c:pt>
                <c:pt idx="15">
                  <c:v>0.145564575988997</c:v>
                </c:pt>
                <c:pt idx="16">
                  <c:v>0.15337926244993599</c:v>
                </c:pt>
                <c:pt idx="17">
                  <c:v>0.15905642885559301</c:v>
                </c:pt>
                <c:pt idx="18">
                  <c:v>0.168713283027491</c:v>
                </c:pt>
                <c:pt idx="19">
                  <c:v>0.21959999999999999</c:v>
                </c:pt>
                <c:pt idx="20">
                  <c:v>0.19800000000000001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44-4C35-858E-4AA099610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marker val="1"/>
        <c:smooth val="0"/>
        <c:axId val="220910720"/>
        <c:axId val="220912256"/>
      </c:lineChart>
      <c:catAx>
        <c:axId val="22089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ca-ES"/>
          </a:p>
        </c:txPr>
        <c:crossAx val="220900736"/>
        <c:crosses val="autoZero"/>
        <c:auto val="1"/>
        <c:lblAlgn val="ctr"/>
        <c:lblOffset val="100"/>
        <c:noMultiLvlLbl val="1"/>
      </c:catAx>
      <c:valAx>
        <c:axId val="22090073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ca-ES"/>
          </a:p>
        </c:txPr>
        <c:crossAx val="220899200"/>
        <c:crosses val="autoZero"/>
        <c:crossBetween val="between"/>
      </c:valAx>
      <c:catAx>
        <c:axId val="2209107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912256"/>
        <c:crosses val="autoZero"/>
        <c:auto val="1"/>
        <c:lblAlgn val="ctr"/>
        <c:lblOffset val="100"/>
        <c:noMultiLvlLbl val="1"/>
      </c:catAx>
      <c:valAx>
        <c:axId val="22091225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70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ca-ES"/>
          </a:p>
        </c:txPr>
        <c:crossAx val="220910720"/>
        <c:crosses val="max"/>
        <c:crossBetween val="between"/>
        <c:majorUnit val="0.2"/>
      </c:valAx>
      <c:spPr>
        <a:noFill/>
        <a:ln>
          <a:solidFill>
            <a:srgbClr val="A6A6A6"/>
          </a:solidFill>
        </a:ln>
      </c:spPr>
    </c:plotArea>
    <c:legend>
      <c:legendPos val="t"/>
      <c:layout>
        <c:manualLayout>
          <c:xMode val="edge"/>
          <c:yMode val="edge"/>
          <c:x val="0.14990333784372772"/>
          <c:y val="0.14136250430801842"/>
          <c:w val="0.76613559430141276"/>
          <c:h val="7.4667876163164976E-2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pPr>
              <a:defRPr sz="7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  <a:r>
              <a:rPr lang="ca-ES" sz="7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rPr>
              <a:t>Gràfic I-10.2. Càrrega fiscal per administracions a les Illes Balears (2021)</a:t>
            </a:r>
          </a:p>
        </c:rich>
      </c:tx>
      <c:layout>
        <c:manualLayout>
          <c:xMode val="edge"/>
          <c:yMode val="edge"/>
          <c:x val="0.117969320672023"/>
          <c:y val="7.6241695665928505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  <c:spPr>
        <a:solidFill>
          <a:srgbClr val="D9D9D9"/>
        </a:solidFill>
        <a:ln>
          <a:noFill/>
        </a:ln>
      </c:spPr>
    </c:floor>
    <c:sideWall>
      <c:thickness val="0"/>
    </c:sideWall>
    <c:backWall>
      <c:thickness val="0"/>
      <c:spPr>
        <a:solidFill>
          <a:srgbClr val="D9D9D9"/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7019722425127801"/>
          <c:y val="0.44637772856690899"/>
          <c:w val="0.60098612125639195"/>
          <c:h val="0.43672888326478998"/>
        </c:manualLayout>
      </c:layout>
      <c:pie3DChart>
        <c:varyColors val="1"/>
        <c:ser>
          <c:idx val="0"/>
          <c:order val="0"/>
          <c:tx>
            <c:strRef>
              <c:f>'G2'!$B$2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4F81BD"/>
            </a:solidFill>
            <a:ln w="12600">
              <a:solidFill>
                <a:srgbClr val="000000"/>
              </a:solidFill>
              <a:round/>
            </a:ln>
          </c:spPr>
          <c:explosion val="25"/>
          <c:dPt>
            <c:idx val="0"/>
            <c:bubble3D val="0"/>
            <c:spPr>
              <a:solidFill>
                <a:srgbClr val="C0C0C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92F3-4E1C-A61F-2D5C8C0CD70C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92F3-4E1C-A61F-2D5C8C0CD70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600">
                <a:solidFill>
                  <a:srgbClr val="000000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92F3-4E1C-A61F-2D5C8C0CD70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Administració local: 11,28%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F3-4E1C-A61F-2D5C8C0CD70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Administració autonòmica: 44,83%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F3-4E1C-A61F-2D5C8C0CD70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Administració estatal: 43,89%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F3-4E1C-A61F-2D5C8C0CD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'G2'!$A$3:$A$5</c:f>
              <c:strCache>
                <c:ptCount val="3"/>
                <c:pt idx="0">
                  <c:v>Administració local</c:v>
                </c:pt>
                <c:pt idx="1">
                  <c:v>Administració autonòmica</c:v>
                </c:pt>
                <c:pt idx="2">
                  <c:v>Administració estatal</c:v>
                </c:pt>
              </c:strCache>
            </c:strRef>
          </c:cat>
          <c:val>
            <c:numRef>
              <c:f>'G2'!$B$3:$B$5</c:f>
              <c:numCache>
                <c:formatCode>0.0%</c:formatCode>
                <c:ptCount val="3"/>
                <c:pt idx="0">
                  <c:v>0.11278492316910456</c:v>
                </c:pt>
                <c:pt idx="1">
                  <c:v>0.44831318939749365</c:v>
                </c:pt>
                <c:pt idx="2">
                  <c:v>0.43890188743340175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F3-4E1C-A61F-2D5C8C0CD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D9D9D9"/>
        </a:solidFill>
        <a:ln>
          <a:noFill/>
        </a:ln>
      </c:spPr>
    </c:plotArea>
    <c:plotVisOnly val="1"/>
    <c:dispBlanksAs val="zero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pPr>
              <a:defRPr sz="7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  <a:r>
              <a:rPr lang="ca-ES" sz="7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rPr>
              <a:t>Gràfic I-10.3. Pressió fiscal per comunitats autònomes: diferència respecte a la mitjana nacional en punts percentuals (2021)</a:t>
            </a:r>
          </a:p>
        </c:rich>
      </c:tx>
      <c:layout>
        <c:manualLayout>
          <c:xMode val="edge"/>
          <c:yMode val="edge"/>
          <c:x val="0.124041737649063"/>
          <c:y val="3.34911752044770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386712095400302"/>
          <c:y val="0.13620318553594499"/>
          <c:w val="0.63106899488926704"/>
          <c:h val="0.7710718897976750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'G3'!$A$2:$A$21</c:f>
              <c:strCache>
                <c:ptCount val="20"/>
                <c:pt idx="0">
                  <c:v>Illes Balears</c:v>
                </c:pt>
                <c:pt idx="1">
                  <c:v>Astúries</c:v>
                </c:pt>
                <c:pt idx="2">
                  <c:v>Cantàbria</c:v>
                </c:pt>
                <c:pt idx="3">
                  <c:v>Com. Valenciana</c:v>
                </c:pt>
                <c:pt idx="4">
                  <c:v>Catalunya</c:v>
                </c:pt>
                <c:pt idx="5">
                  <c:v>Andalusia</c:v>
                </c:pt>
                <c:pt idx="6">
                  <c:v>MITJANA NACIONAL</c:v>
                </c:pt>
                <c:pt idx="7">
                  <c:v>Madrid</c:v>
                </c:pt>
                <c:pt idx="8">
                  <c:v>Castella i Lleó</c:v>
                </c:pt>
                <c:pt idx="9">
                  <c:v>Castella-la Manxa</c:v>
                </c:pt>
                <c:pt idx="10">
                  <c:v>País Basc</c:v>
                </c:pt>
                <c:pt idx="11">
                  <c:v>Galícia</c:v>
                </c:pt>
                <c:pt idx="12">
                  <c:v>Múrcia</c:v>
                </c:pt>
                <c:pt idx="13">
                  <c:v>Aragó</c:v>
                </c:pt>
                <c:pt idx="14">
                  <c:v>Extremadura</c:v>
                </c:pt>
                <c:pt idx="15">
                  <c:v>La Rioja</c:v>
                </c:pt>
                <c:pt idx="16">
                  <c:v>Illes Canàries</c:v>
                </c:pt>
                <c:pt idx="17">
                  <c:v>Navarra</c:v>
                </c:pt>
                <c:pt idx="18">
                  <c:v>Ceuta</c:v>
                </c:pt>
                <c:pt idx="19">
                  <c:v>Melilla</c:v>
                </c:pt>
              </c:strCache>
            </c:strRef>
          </c:cat>
          <c:val>
            <c:numRef>
              <c:f>'G3'!$B$2:$B$21</c:f>
              <c:numCache>
                <c:formatCode>0.0</c:formatCode>
                <c:ptCount val="20"/>
                <c:pt idx="0">
                  <c:v>7.4346820630645238</c:v>
                </c:pt>
                <c:pt idx="1">
                  <c:v>2.4054979917625841</c:v>
                </c:pt>
                <c:pt idx="2">
                  <c:v>2.0129839586061959</c:v>
                </c:pt>
                <c:pt idx="3">
                  <c:v>1.3009295339896421</c:v>
                </c:pt>
                <c:pt idx="4">
                  <c:v>0.85024798863776452</c:v>
                </c:pt>
                <c:pt idx="5">
                  <c:v>0.25915868191611624</c:v>
                </c:pt>
                <c:pt idx="6">
                  <c:v>3.6426398035194207E-3</c:v>
                </c:pt>
                <c:pt idx="7">
                  <c:v>-0.11767686329725024</c:v>
                </c:pt>
                <c:pt idx="8">
                  <c:v>-0.93242364671689837</c:v>
                </c:pt>
                <c:pt idx="9">
                  <c:v>-0.93525693761196127</c:v>
                </c:pt>
                <c:pt idx="10">
                  <c:v>-1.0795901536817727</c:v>
                </c:pt>
                <c:pt idx="11">
                  <c:v>-1.6628605455449614</c:v>
                </c:pt>
                <c:pt idx="12">
                  <c:v>-1.674833334760137</c:v>
                </c:pt>
                <c:pt idx="13">
                  <c:v>-1.6912490740899067</c:v>
                </c:pt>
                <c:pt idx="14">
                  <c:v>-1.7295823631316265</c:v>
                </c:pt>
                <c:pt idx="15">
                  <c:v>-2.9652589354540098</c:v>
                </c:pt>
                <c:pt idx="16">
                  <c:v>-5.2946674543946077</c:v>
                </c:pt>
                <c:pt idx="17">
                  <c:v>-9.1265063210960502</c:v>
                </c:pt>
                <c:pt idx="18">
                  <c:v>-13.360833602437799</c:v>
                </c:pt>
                <c:pt idx="19">
                  <c:v>-17.526003687058584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6-452E-9E43-29162B2F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49029376"/>
        <c:axId val="249030912"/>
      </c:barChart>
      <c:catAx>
        <c:axId val="2490293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675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  <a:endParaRPr lang="ca-ES"/>
          </a:p>
        </c:txPr>
        <c:crossAx val="249030912"/>
        <c:crosses val="autoZero"/>
        <c:auto val="1"/>
        <c:lblAlgn val="ctr"/>
        <c:lblOffset val="100"/>
        <c:noMultiLvlLbl val="1"/>
      </c:catAx>
      <c:valAx>
        <c:axId val="249030912"/>
        <c:scaling>
          <c:orientation val="minMax"/>
          <c:min val="-20"/>
        </c:scaling>
        <c:delete val="0"/>
        <c:axPos val="b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675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  <a:endParaRPr lang="ca-ES"/>
          </a:p>
        </c:txPr>
        <c:crossAx val="249029376"/>
        <c:crosses val="max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2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8C7BC3-B58F-464F-AB14-B91605D66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6510</xdr:colOff>
      <xdr:row>2</xdr:row>
      <xdr:rowOff>10440</xdr:rowOff>
    </xdr:from>
    <xdr:to>
      <xdr:col>15</xdr:col>
      <xdr:colOff>723900</xdr:colOff>
      <xdr:row>21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216000</xdr:colOff>
      <xdr:row>6</xdr:row>
      <xdr:rowOff>153360</xdr:rowOff>
    </xdr:from>
    <xdr:to>
      <xdr:col>4</xdr:col>
      <xdr:colOff>205710</xdr:colOff>
      <xdr:row>21</xdr:row>
      <xdr:rowOff>75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733424</xdr:colOff>
      <xdr:row>0</xdr:row>
      <xdr:rowOff>85725</xdr:rowOff>
    </xdr:from>
    <xdr:to>
      <xdr:col>15</xdr:col>
      <xdr:colOff>676275</xdr:colOff>
      <xdr:row>28</xdr:row>
      <xdr:rowOff>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3897-103F-48C4-83A6-DD1E0DBC5B43}">
  <dimension ref="A2:K29"/>
  <sheetViews>
    <sheetView workbookViewId="0">
      <selection activeCell="A29" sqref="A29:C29"/>
    </sheetView>
  </sheetViews>
  <sheetFormatPr baseColWidth="10" defaultColWidth="11.42578125" defaultRowHeight="12.75" x14ac:dyDescent="0.2"/>
  <cols>
    <col min="11" max="11" width="18.28515625" customWidth="1"/>
  </cols>
  <sheetData>
    <row r="2" spans="1:11" x14ac:dyDescent="0.2">
      <c r="B2" s="211" t="s">
        <v>308</v>
      </c>
      <c r="C2" s="212"/>
      <c r="D2" s="212"/>
      <c r="E2" s="212"/>
      <c r="F2" s="212"/>
      <c r="G2" s="212"/>
    </row>
    <row r="5" spans="1:11" x14ac:dyDescent="0.2">
      <c r="A5" s="226" t="s">
        <v>260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</row>
    <row r="6" spans="1:11" x14ac:dyDescent="0.2">
      <c r="A6" s="209" t="s">
        <v>261</v>
      </c>
      <c r="B6" s="209"/>
      <c r="C6" s="209"/>
      <c r="D6" s="227" t="s">
        <v>318</v>
      </c>
      <c r="E6" s="227"/>
      <c r="F6" s="227"/>
      <c r="G6" s="227"/>
      <c r="H6" s="227"/>
      <c r="I6" s="227"/>
      <c r="J6" s="227"/>
      <c r="K6" s="227"/>
    </row>
    <row r="7" spans="1:11" x14ac:dyDescent="0.2">
      <c r="A7" s="223" t="s">
        <v>263</v>
      </c>
      <c r="B7" s="224"/>
      <c r="C7" s="225"/>
      <c r="D7" s="81" t="s">
        <v>317</v>
      </c>
      <c r="E7" s="82"/>
      <c r="F7" s="82"/>
      <c r="G7" s="82"/>
      <c r="H7" s="82"/>
      <c r="I7" s="82"/>
      <c r="J7" s="82"/>
      <c r="K7" s="83"/>
    </row>
    <row r="8" spans="1:11" x14ac:dyDescent="0.2">
      <c r="A8" s="214" t="s">
        <v>264</v>
      </c>
      <c r="B8" s="215"/>
      <c r="C8" s="216"/>
      <c r="D8" s="217" t="s">
        <v>283</v>
      </c>
      <c r="E8" s="218"/>
      <c r="F8" s="218"/>
      <c r="G8" s="218"/>
      <c r="H8" s="218"/>
      <c r="I8" s="218"/>
      <c r="J8" s="218"/>
      <c r="K8" s="219"/>
    </row>
    <row r="9" spans="1:11" x14ac:dyDescent="0.2">
      <c r="A9" s="214" t="s">
        <v>265</v>
      </c>
      <c r="B9" s="215"/>
      <c r="C9" s="216"/>
      <c r="D9" s="217" t="s">
        <v>282</v>
      </c>
      <c r="E9" s="218"/>
      <c r="F9" s="218"/>
      <c r="G9" s="218"/>
      <c r="H9" s="218"/>
      <c r="I9" s="218"/>
      <c r="J9" s="218"/>
      <c r="K9" s="219"/>
    </row>
    <row r="10" spans="1:11" x14ac:dyDescent="0.2">
      <c r="A10" s="214" t="s">
        <v>266</v>
      </c>
      <c r="B10" s="215"/>
      <c r="C10" s="216"/>
      <c r="D10" s="217" t="s">
        <v>315</v>
      </c>
      <c r="E10" s="218"/>
      <c r="F10" s="218"/>
      <c r="G10" s="218"/>
      <c r="H10" s="218"/>
      <c r="I10" s="218"/>
      <c r="J10" s="218"/>
      <c r="K10" s="219"/>
    </row>
    <row r="11" spans="1:11" x14ac:dyDescent="0.2">
      <c r="A11" s="214" t="s">
        <v>267</v>
      </c>
      <c r="B11" s="215"/>
      <c r="C11" s="216"/>
      <c r="D11" s="217" t="s">
        <v>287</v>
      </c>
      <c r="E11" s="218"/>
      <c r="F11" s="218"/>
      <c r="G11" s="218"/>
      <c r="H11" s="218"/>
      <c r="I11" s="218"/>
      <c r="J11" s="218"/>
      <c r="K11" s="219"/>
    </row>
    <row r="12" spans="1:11" x14ac:dyDescent="0.2">
      <c r="A12" s="214" t="s">
        <v>268</v>
      </c>
      <c r="B12" s="215"/>
      <c r="C12" s="216"/>
      <c r="D12" s="217" t="s">
        <v>313</v>
      </c>
      <c r="E12" s="218"/>
      <c r="F12" s="218"/>
      <c r="G12" s="218"/>
      <c r="H12" s="218"/>
      <c r="I12" s="218"/>
      <c r="J12" s="218"/>
      <c r="K12" s="219"/>
    </row>
    <row r="13" spans="1:11" x14ac:dyDescent="0.2">
      <c r="A13" s="214" t="s">
        <v>269</v>
      </c>
      <c r="B13" s="215"/>
      <c r="C13" s="216"/>
      <c r="D13" s="217" t="s">
        <v>288</v>
      </c>
      <c r="E13" s="218"/>
      <c r="F13" s="218"/>
      <c r="G13" s="218"/>
      <c r="H13" s="218"/>
      <c r="I13" s="218"/>
      <c r="J13" s="218"/>
      <c r="K13" s="219"/>
    </row>
    <row r="14" spans="1:11" x14ac:dyDescent="0.2">
      <c r="A14" s="223" t="s">
        <v>270</v>
      </c>
      <c r="B14" s="224"/>
      <c r="C14" s="225"/>
      <c r="D14" s="217" t="s">
        <v>289</v>
      </c>
      <c r="E14" s="218"/>
      <c r="F14" s="218"/>
      <c r="G14" s="218"/>
      <c r="H14" s="218"/>
      <c r="I14" s="218"/>
      <c r="J14" s="218"/>
      <c r="K14" s="219"/>
    </row>
    <row r="15" spans="1:11" x14ac:dyDescent="0.2">
      <c r="A15" s="214" t="s">
        <v>271</v>
      </c>
      <c r="B15" s="215"/>
      <c r="C15" s="216"/>
      <c r="D15" s="217" t="s">
        <v>290</v>
      </c>
      <c r="E15" s="218"/>
      <c r="F15" s="218"/>
      <c r="G15" s="218"/>
      <c r="H15" s="218"/>
      <c r="I15" s="218"/>
      <c r="J15" s="218"/>
      <c r="K15" s="219"/>
    </row>
    <row r="16" spans="1:11" x14ac:dyDescent="0.2">
      <c r="A16" s="214" t="s">
        <v>272</v>
      </c>
      <c r="B16" s="215"/>
      <c r="C16" s="216"/>
      <c r="D16" s="217" t="s">
        <v>291</v>
      </c>
      <c r="E16" s="218"/>
      <c r="F16" s="218"/>
      <c r="G16" s="218"/>
      <c r="H16" s="218"/>
      <c r="I16" s="218"/>
      <c r="J16" s="218"/>
      <c r="K16" s="219"/>
    </row>
    <row r="17" spans="1:11" x14ac:dyDescent="0.2">
      <c r="A17" s="214" t="s">
        <v>274</v>
      </c>
      <c r="B17" s="215"/>
      <c r="C17" s="216"/>
      <c r="D17" s="217" t="s">
        <v>292</v>
      </c>
      <c r="E17" s="218"/>
      <c r="F17" s="218"/>
      <c r="G17" s="218"/>
      <c r="H17" s="218"/>
      <c r="I17" s="218"/>
      <c r="J17" s="218"/>
      <c r="K17" s="219"/>
    </row>
    <row r="18" spans="1:11" x14ac:dyDescent="0.2">
      <c r="A18" s="214" t="s">
        <v>275</v>
      </c>
      <c r="B18" s="215"/>
      <c r="C18" s="216"/>
      <c r="D18" s="217" t="s">
        <v>293</v>
      </c>
      <c r="E18" s="218"/>
      <c r="F18" s="218"/>
      <c r="G18" s="218"/>
      <c r="H18" s="218"/>
      <c r="I18" s="218"/>
      <c r="J18" s="218"/>
      <c r="K18" s="219"/>
    </row>
    <row r="19" spans="1:11" ht="12.75" customHeight="1" x14ac:dyDescent="0.2">
      <c r="A19" s="214" t="s">
        <v>277</v>
      </c>
      <c r="B19" s="215"/>
      <c r="C19" s="216"/>
      <c r="D19" s="217" t="s">
        <v>363</v>
      </c>
      <c r="E19" s="218"/>
      <c r="F19" s="218"/>
      <c r="G19" s="218"/>
      <c r="H19" s="218"/>
      <c r="I19" s="218"/>
      <c r="J19" s="218"/>
      <c r="K19" s="219"/>
    </row>
    <row r="20" spans="1:11" ht="12.75" customHeight="1" x14ac:dyDescent="0.2">
      <c r="A20" s="214" t="s">
        <v>278</v>
      </c>
      <c r="B20" s="215"/>
      <c r="C20" s="216"/>
      <c r="D20" s="220" t="s">
        <v>364</v>
      </c>
      <c r="E20" s="221"/>
      <c r="F20" s="221"/>
      <c r="G20" s="221"/>
      <c r="H20" s="221"/>
      <c r="I20" s="221"/>
      <c r="J20" s="221"/>
      <c r="K20" s="222"/>
    </row>
    <row r="21" spans="1:11" x14ac:dyDescent="0.2">
      <c r="A21" s="214" t="s">
        <v>279</v>
      </c>
      <c r="B21" s="215"/>
      <c r="C21" s="216"/>
      <c r="D21" s="217" t="s">
        <v>294</v>
      </c>
      <c r="E21" s="218"/>
      <c r="F21" s="218"/>
      <c r="G21" s="218"/>
      <c r="H21" s="218"/>
      <c r="I21" s="218"/>
      <c r="J21" s="218"/>
      <c r="K21" s="219"/>
    </row>
    <row r="22" spans="1:11" x14ac:dyDescent="0.2">
      <c r="A22" s="209" t="s">
        <v>280</v>
      </c>
      <c r="B22" s="209"/>
      <c r="C22" s="209"/>
      <c r="D22" s="210" t="s">
        <v>316</v>
      </c>
      <c r="E22" s="210"/>
      <c r="F22" s="210"/>
      <c r="G22" s="210"/>
      <c r="H22" s="210"/>
      <c r="I22" s="210"/>
      <c r="J22" s="210"/>
      <c r="K22" s="210"/>
    </row>
    <row r="23" spans="1:11" x14ac:dyDescent="0.2">
      <c r="A23" s="209" t="s">
        <v>284</v>
      </c>
      <c r="B23" s="209"/>
      <c r="C23" s="209"/>
      <c r="D23" s="210" t="s">
        <v>295</v>
      </c>
      <c r="E23" s="210"/>
      <c r="F23" s="210"/>
      <c r="G23" s="210"/>
      <c r="H23" s="210"/>
      <c r="I23" s="210"/>
      <c r="J23" s="210"/>
      <c r="K23" s="210"/>
    </row>
    <row r="24" spans="1:11" x14ac:dyDescent="0.2">
      <c r="A24" s="209" t="s">
        <v>285</v>
      </c>
      <c r="B24" s="209"/>
      <c r="C24" s="209"/>
      <c r="D24" s="210" t="s">
        <v>296</v>
      </c>
      <c r="E24" s="210"/>
      <c r="F24" s="210"/>
      <c r="G24" s="210"/>
      <c r="H24" s="210"/>
      <c r="I24" s="210"/>
      <c r="J24" s="210"/>
      <c r="K24" s="210"/>
    </row>
    <row r="25" spans="1:11" x14ac:dyDescent="0.2">
      <c r="A25" s="209" t="s">
        <v>286</v>
      </c>
      <c r="B25" s="209"/>
      <c r="C25" s="209"/>
      <c r="D25" s="210" t="s">
        <v>297</v>
      </c>
      <c r="E25" s="210"/>
      <c r="F25" s="210"/>
      <c r="G25" s="210"/>
      <c r="H25" s="210"/>
      <c r="I25" s="210"/>
      <c r="J25" s="210"/>
      <c r="K25" s="210"/>
    </row>
    <row r="26" spans="1:11" x14ac:dyDescent="0.2">
      <c r="A26" s="213" t="s">
        <v>262</v>
      </c>
      <c r="B26" s="209"/>
      <c r="C26" s="209"/>
      <c r="D26" s="210" t="s">
        <v>237</v>
      </c>
      <c r="E26" s="210"/>
      <c r="F26" s="210"/>
      <c r="G26" s="210"/>
      <c r="H26" s="210"/>
      <c r="I26" s="210"/>
      <c r="J26" s="210"/>
      <c r="K26" s="210"/>
    </row>
    <row r="27" spans="1:11" x14ac:dyDescent="0.2">
      <c r="A27" s="209" t="s">
        <v>273</v>
      </c>
      <c r="B27" s="209"/>
      <c r="C27" s="209"/>
      <c r="D27" s="210" t="s">
        <v>258</v>
      </c>
      <c r="E27" s="210"/>
      <c r="F27" s="210"/>
      <c r="G27" s="210"/>
      <c r="H27" s="210"/>
      <c r="I27" s="210"/>
      <c r="J27" s="210"/>
      <c r="K27" s="210"/>
    </row>
    <row r="28" spans="1:11" x14ac:dyDescent="0.2">
      <c r="A28" s="209" t="s">
        <v>276</v>
      </c>
      <c r="B28" s="209"/>
      <c r="C28" s="209"/>
      <c r="D28" s="210" t="s">
        <v>256</v>
      </c>
      <c r="E28" s="210"/>
      <c r="F28" s="210"/>
      <c r="G28" s="210"/>
      <c r="H28" s="210"/>
      <c r="I28" s="210"/>
      <c r="J28" s="210"/>
      <c r="K28" s="210"/>
    </row>
    <row r="29" spans="1:11" x14ac:dyDescent="0.2">
      <c r="A29" s="213" t="s">
        <v>281</v>
      </c>
      <c r="B29" s="209"/>
      <c r="C29" s="209"/>
      <c r="D29" s="210" t="s">
        <v>237</v>
      </c>
      <c r="E29" s="210"/>
      <c r="F29" s="210"/>
      <c r="G29" s="210"/>
      <c r="H29" s="210"/>
      <c r="I29" s="210"/>
      <c r="J29" s="210"/>
      <c r="K29" s="210"/>
    </row>
  </sheetData>
  <mergeCells count="49">
    <mergeCell ref="A5:K5"/>
    <mergeCell ref="A29:C29"/>
    <mergeCell ref="D29:K29"/>
    <mergeCell ref="A6:C6"/>
    <mergeCell ref="D6:K6"/>
    <mergeCell ref="A7:C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A14:C14"/>
    <mergeCell ref="D14:K14"/>
    <mergeCell ref="A15:C15"/>
    <mergeCell ref="D15:K15"/>
    <mergeCell ref="A16:C16"/>
    <mergeCell ref="D16:K16"/>
    <mergeCell ref="A17:C17"/>
    <mergeCell ref="D17:K17"/>
    <mergeCell ref="D23:K23"/>
    <mergeCell ref="A18:C18"/>
    <mergeCell ref="D18:K18"/>
    <mergeCell ref="A19:C19"/>
    <mergeCell ref="D19:K19"/>
    <mergeCell ref="A20:C20"/>
    <mergeCell ref="D20:K20"/>
    <mergeCell ref="A27:C27"/>
    <mergeCell ref="D27:K27"/>
    <mergeCell ref="A28:C28"/>
    <mergeCell ref="D28:K28"/>
    <mergeCell ref="B2:G2"/>
    <mergeCell ref="A24:C24"/>
    <mergeCell ref="D24:K24"/>
    <mergeCell ref="A25:C25"/>
    <mergeCell ref="D25:K25"/>
    <mergeCell ref="A26:C26"/>
    <mergeCell ref="D26:K26"/>
    <mergeCell ref="A21:C21"/>
    <mergeCell ref="D21:K21"/>
    <mergeCell ref="A22:C22"/>
    <mergeCell ref="D22:K22"/>
    <mergeCell ref="A23:C23"/>
  </mergeCells>
  <hyperlinks>
    <hyperlink ref="A29:C29" location="'QA1'!A1" display="Quadre IA-10.1." xr:uid="{B18DD88F-FC79-44B0-994E-C637567541A5}"/>
    <hyperlink ref="A6:C6" location="'Q1'!A1" display="Quadre I-10.1." xr:uid="{6B134310-07EF-4F39-97E3-5C4EC884D07D}"/>
    <hyperlink ref="A22:C22" location="'Q17'!A1" display="Quadre I-10.17." xr:uid="{6C5DCECF-47AB-41A4-8891-27C1721378AA}"/>
    <hyperlink ref="A23:C23" location="'Q18'!A1" display="Quadre I-10.18." xr:uid="{BEA8E22D-DEB8-4898-9334-234328091892}"/>
    <hyperlink ref="A24:C24" location="'Q19'!A1" display="Quadre I-10.19." xr:uid="{FA19F518-3917-42D7-B605-9B03CF68EB98}"/>
    <hyperlink ref="A25:C25" location="'Q20'!A1" display="Quadre I-10.20." xr:uid="{12BDA6A3-DB56-4D7B-BF5C-AA7011BA0522}"/>
    <hyperlink ref="A28:C28" location="'G3'!A1" display="Gràfic I-10.3." xr:uid="{28258070-6B35-467F-A603-702D155C25F0}"/>
    <hyperlink ref="A27:C27" location="'G2'!A1" display="Gràfic I-10.2." xr:uid="{C2AF87FA-4E14-4772-B573-3EE2AB84F905}"/>
    <hyperlink ref="A26:C26" location="'G1'!A1" display="Gràfic I-10.1." xr:uid="{DA3F9F40-05FD-4FCB-A503-58293B57B4A3}"/>
    <hyperlink ref="A7:C7" location="'Q2'!A1" display="Quadre I-10.2." xr:uid="{0A0A7581-437F-4F9B-80A0-9A413CE5E84B}"/>
    <hyperlink ref="A8:C8" location="'Q3'!A1" display="Quadre I-10.3." xr:uid="{29D66991-E85F-437B-8DE2-F953092B2BF2}"/>
    <hyperlink ref="A9:C9" location="'Q4'!A1" display="Quadre I-10.4." xr:uid="{4BC0B228-98A0-46AE-8D37-0C2C95C3122D}"/>
    <hyperlink ref="A10:C10" location="'Q5'!A1" display="Quadre I-10.5." xr:uid="{C3860341-9CBC-4216-BB04-F36F172113F2}"/>
    <hyperlink ref="A11:C11" location="'Q6'!A1" display="Quadre I-10.6." xr:uid="{CAE006A4-BA74-486E-99B3-F38B50C87735}"/>
    <hyperlink ref="A12:C12" location="'Q7'!A1" display="Quadre I-10.7." xr:uid="{5674AE5F-FA80-4C36-93CC-4195610DFAC6}"/>
    <hyperlink ref="A13:C13" location="'Q8'!A1" display="Quadre I-10.8." xr:uid="{7D6A30AF-38AD-41A9-9554-935C491627A5}"/>
    <hyperlink ref="A14:C14" location="'Q9'!A1" display="Quadre I-10.9." xr:uid="{15D0C509-F5DD-41F8-9216-F90D1B52D70E}"/>
    <hyperlink ref="A15:C15" location="'Q10'!A1" display="Quadre I-10.10." xr:uid="{3D837621-3F4D-4134-B159-11906581B204}"/>
    <hyperlink ref="A16:C16" location="'Q11'!A1" display="Quadre I-10.11." xr:uid="{4B9E60E6-E4FD-4CC7-BC31-88E55DFAFC0B}"/>
    <hyperlink ref="A17:C17" location="'Q12'!A1" display="Quadre I-10.12." xr:uid="{5FB38F1E-2297-4696-A747-9463C44541F7}"/>
    <hyperlink ref="A18:C18" location="'Q13'!A1" display="Quadre I-10.13." xr:uid="{852E7142-7DFA-47EE-B6E5-0101833CCEE6}"/>
    <hyperlink ref="A19:C19" location="'Q14'!A1" display="Quadre I-10.14." xr:uid="{A4617953-0866-444B-9850-3C5243D23BD0}"/>
    <hyperlink ref="A20:C20" location="'Q15'!A1" display="Quadre I-10.15." xr:uid="{3081B76B-865D-4ECE-B9E8-BEF036B1C00A}"/>
    <hyperlink ref="A21:C21" location="'Q16'!A1" display="Quadre I-10.16." xr:uid="{20786B2F-0E23-49E3-B192-A904B888E93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MK28"/>
  <sheetViews>
    <sheetView zoomScaleNormal="100" workbookViewId="0">
      <selection activeCell="A3" sqref="A3:A26"/>
    </sheetView>
  </sheetViews>
  <sheetFormatPr baseColWidth="10" defaultColWidth="11.42578125" defaultRowHeight="12.75" x14ac:dyDescent="0.2"/>
  <cols>
    <col min="1" max="1" width="11.85546875" style="1"/>
    <col min="2" max="2" width="26.7109375" style="1"/>
    <col min="3" max="4" width="14.28515625" style="1"/>
    <col min="5" max="5" width="15.5703125" style="1" customWidth="1"/>
    <col min="6" max="6" width="11" style="1"/>
    <col min="7" max="7" width="14.5703125" style="1"/>
    <col min="8" max="1025" width="11" style="1"/>
  </cols>
  <sheetData>
    <row r="1" spans="1:1025" ht="23.25" customHeight="1" x14ac:dyDescent="0.2">
      <c r="A1" s="252" t="s">
        <v>299</v>
      </c>
      <c r="B1" s="252"/>
      <c r="C1" s="252"/>
      <c r="D1" s="252"/>
      <c r="E1" s="25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5" x14ac:dyDescent="0.2">
      <c r="A2" s="238"/>
      <c r="B2" s="238"/>
      <c r="C2" s="188">
        <v>2020</v>
      </c>
      <c r="D2" s="188">
        <v>2021</v>
      </c>
      <c r="E2" s="189" t="s">
        <v>353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x14ac:dyDescent="0.2">
      <c r="A3" s="244" t="s">
        <v>27</v>
      </c>
      <c r="B3" s="106" t="s">
        <v>52</v>
      </c>
      <c r="C3" s="115">
        <f>SUM(C4:C8)</f>
        <v>1352801214.3</v>
      </c>
      <c r="D3" s="115">
        <f>SUM(D4:D8)</f>
        <v>1341441032.9900002</v>
      </c>
      <c r="E3" s="116">
        <f t="shared" ref="E3:E26" si="0">(D3-C3)/C3</f>
        <v>-8.397524477295781E-3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">
      <c r="A4" s="244"/>
      <c r="B4" s="109" t="s">
        <v>321</v>
      </c>
      <c r="C4" s="115">
        <v>614084692.18000007</v>
      </c>
      <c r="D4" s="115">
        <v>607977926.25</v>
      </c>
      <c r="E4" s="116">
        <f t="shared" si="0"/>
        <v>-9.9445011539386428E-3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x14ac:dyDescent="0.2">
      <c r="A5" s="244"/>
      <c r="B5" s="109" t="s">
        <v>322</v>
      </c>
      <c r="C5" s="115">
        <v>63084913.509999998</v>
      </c>
      <c r="D5" s="115">
        <v>62760436.109999999</v>
      </c>
      <c r="E5" s="116">
        <f t="shared" si="0"/>
        <v>-5.1435023359200369E-3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Z5"/>
      <c r="AMA5"/>
      <c r="AMB5"/>
      <c r="AMC5"/>
      <c r="AMD5"/>
      <c r="AME5"/>
      <c r="AMF5"/>
      <c r="AMG5"/>
      <c r="AMH5"/>
      <c r="AMI5"/>
      <c r="AMJ5"/>
      <c r="AMK5"/>
    </row>
    <row r="6" spans="1:1025" x14ac:dyDescent="0.2">
      <c r="A6" s="244"/>
      <c r="B6" s="109" t="s">
        <v>344</v>
      </c>
      <c r="C6" s="115">
        <v>327319174.32000005</v>
      </c>
      <c r="D6" s="115">
        <v>309886104.33999997</v>
      </c>
      <c r="E6" s="116">
        <f t="shared" si="0"/>
        <v>-5.3260155064905626E-2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 x14ac:dyDescent="0.2">
      <c r="A7" s="244"/>
      <c r="B7" s="109" t="s">
        <v>324</v>
      </c>
      <c r="C7" s="115">
        <v>312480951.02999991</v>
      </c>
      <c r="D7" s="115">
        <v>328628438.40000004</v>
      </c>
      <c r="E7" s="116">
        <f t="shared" si="0"/>
        <v>5.1675109528356099E-2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x14ac:dyDescent="0.2">
      <c r="A8" s="244"/>
      <c r="B8" s="109" t="s">
        <v>325</v>
      </c>
      <c r="C8" s="115">
        <v>35831483.260000005</v>
      </c>
      <c r="D8" s="115">
        <v>32188127.889999997</v>
      </c>
      <c r="E8" s="116">
        <f t="shared" si="0"/>
        <v>-0.10168028332969457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Z8"/>
      <c r="AMA8"/>
      <c r="AMB8"/>
      <c r="AMC8"/>
      <c r="AMD8"/>
      <c r="AME8"/>
      <c r="AMF8"/>
      <c r="AMG8"/>
      <c r="AMH8"/>
      <c r="AMI8"/>
      <c r="AMJ8"/>
      <c r="AMK8"/>
    </row>
    <row r="9" spans="1:1025" x14ac:dyDescent="0.2">
      <c r="A9" s="244"/>
      <c r="B9" s="106" t="s">
        <v>53</v>
      </c>
      <c r="C9" s="115">
        <f>SUM(C10:C13)</f>
        <v>68863906.800000012</v>
      </c>
      <c r="D9" s="115">
        <f>SUM(D10:D13)</f>
        <v>110453623.25</v>
      </c>
      <c r="E9" s="116">
        <f t="shared" si="0"/>
        <v>0.60394070540883082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x14ac:dyDescent="0.2">
      <c r="A10" s="244"/>
      <c r="B10" s="109" t="s">
        <v>326</v>
      </c>
      <c r="C10" s="115">
        <v>1644509.3</v>
      </c>
      <c r="D10" s="115">
        <v>150612.16</v>
      </c>
      <c r="E10" s="116">
        <f t="shared" si="0"/>
        <v>-0.90841513635708848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x14ac:dyDescent="0.2">
      <c r="A11" s="244"/>
      <c r="B11" s="109" t="s">
        <v>327</v>
      </c>
      <c r="C11" s="115">
        <v>50123705.210000008</v>
      </c>
      <c r="D11" s="115">
        <v>63197279.030000001</v>
      </c>
      <c r="E11" s="116">
        <f t="shared" si="0"/>
        <v>0.26082616528898844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x14ac:dyDescent="0.2">
      <c r="A12" s="244"/>
      <c r="B12" s="109" t="s">
        <v>346</v>
      </c>
      <c r="C12" s="115">
        <v>4608050</v>
      </c>
      <c r="D12" s="115">
        <v>5327011.7699999996</v>
      </c>
      <c r="E12" s="116">
        <f t="shared" si="0"/>
        <v>0.15602299671227515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 x14ac:dyDescent="0.2">
      <c r="A13" s="244"/>
      <c r="B13" s="109" t="s">
        <v>347</v>
      </c>
      <c r="C13" s="115">
        <v>12487642.289999999</v>
      </c>
      <c r="D13" s="115">
        <v>41778720.289999999</v>
      </c>
      <c r="E13" s="116">
        <f t="shared" si="0"/>
        <v>2.3456051446521697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 s="16" customFormat="1" ht="11.25" x14ac:dyDescent="0.2">
      <c r="A14" s="244"/>
      <c r="B14" s="112" t="s">
        <v>48</v>
      </c>
      <c r="C14" s="113">
        <f>C9+C3</f>
        <v>1421665121.0999999</v>
      </c>
      <c r="D14" s="113">
        <f>D9+D3</f>
        <v>1451894656.2400002</v>
      </c>
      <c r="E14" s="114">
        <f t="shared" si="0"/>
        <v>2.1263471046268988E-2</v>
      </c>
    </row>
    <row r="15" spans="1:1025" x14ac:dyDescent="0.2">
      <c r="A15" s="244" t="s">
        <v>29</v>
      </c>
      <c r="B15" s="106" t="s">
        <v>52</v>
      </c>
      <c r="C15" s="115">
        <f>SUM(C16:C20)</f>
        <v>1218524038.5900002</v>
      </c>
      <c r="D15" s="115">
        <f>SUM(D16:D20)</f>
        <v>1258822473.3399999</v>
      </c>
      <c r="E15" s="116">
        <f t="shared" si="0"/>
        <v>3.3071513957681618E-2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1:1025" x14ac:dyDescent="0.2">
      <c r="A16" s="244"/>
      <c r="B16" s="109" t="s">
        <v>348</v>
      </c>
      <c r="C16" s="115">
        <v>539082372.42999995</v>
      </c>
      <c r="D16" s="115">
        <v>562456589.77999997</v>
      </c>
      <c r="E16" s="116">
        <f t="shared" si="0"/>
        <v>4.3359268537453755E-2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B16"/>
      <c r="AMC16"/>
      <c r="AMD16"/>
      <c r="AME16"/>
      <c r="AMF16"/>
      <c r="AMG16"/>
      <c r="AMH16"/>
      <c r="AMI16"/>
      <c r="AMJ16"/>
      <c r="AMK16"/>
    </row>
    <row r="17" spans="1:1025" x14ac:dyDescent="0.2">
      <c r="A17" s="244"/>
      <c r="B17" s="109" t="s">
        <v>354</v>
      </c>
      <c r="C17" s="115">
        <v>513935170.21999991</v>
      </c>
      <c r="D17" s="115">
        <v>522953035.12000012</v>
      </c>
      <c r="E17" s="116">
        <f t="shared" si="0"/>
        <v>1.7546697370681874E-2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B17"/>
      <c r="AMC17"/>
      <c r="AMD17"/>
      <c r="AME17"/>
      <c r="AMF17"/>
      <c r="AMG17"/>
      <c r="AMH17"/>
      <c r="AMI17"/>
      <c r="AMJ17"/>
      <c r="AMK17"/>
    </row>
    <row r="18" spans="1:1025" x14ac:dyDescent="0.2">
      <c r="A18" s="244"/>
      <c r="B18" s="109" t="s">
        <v>350</v>
      </c>
      <c r="C18" s="115">
        <v>11610762.989999998</v>
      </c>
      <c r="D18" s="115">
        <v>9334809.5599999987</v>
      </c>
      <c r="E18" s="116">
        <f t="shared" si="0"/>
        <v>-0.19602100498995717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B18"/>
      <c r="AMC18"/>
      <c r="AMD18"/>
      <c r="AME18"/>
      <c r="AMF18"/>
      <c r="AMG18"/>
      <c r="AMH18"/>
      <c r="AMI18"/>
      <c r="AMJ18"/>
      <c r="AMK18"/>
    </row>
    <row r="19" spans="1:1025" x14ac:dyDescent="0.2">
      <c r="A19" s="244"/>
      <c r="B19" s="109" t="s">
        <v>324</v>
      </c>
      <c r="C19" s="115">
        <v>146567966.53000009</v>
      </c>
      <c r="D19" s="115">
        <v>156662272.14999995</v>
      </c>
      <c r="E19" s="116">
        <f t="shared" si="0"/>
        <v>6.8871158268636518E-2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B19"/>
      <c r="AMC19"/>
      <c r="AMD19"/>
      <c r="AME19"/>
      <c r="AMF19"/>
      <c r="AMG19"/>
      <c r="AMH19"/>
      <c r="AMI19"/>
      <c r="AMJ19"/>
      <c r="AMK19"/>
    </row>
    <row r="20" spans="1:1025" x14ac:dyDescent="0.2">
      <c r="A20" s="244"/>
      <c r="B20" s="109" t="s">
        <v>351</v>
      </c>
      <c r="C20" s="115">
        <v>7327766.4199999999</v>
      </c>
      <c r="D20" s="115">
        <v>7415766.7300000004</v>
      </c>
      <c r="E20" s="116">
        <f t="shared" si="0"/>
        <v>1.2009158719881867E-2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B20"/>
      <c r="AMC20"/>
      <c r="AMD20"/>
      <c r="AME20"/>
      <c r="AMF20"/>
      <c r="AMG20"/>
      <c r="AMH20"/>
      <c r="AMI20"/>
      <c r="AMJ20"/>
      <c r="AMK20"/>
    </row>
    <row r="21" spans="1:1025" x14ac:dyDescent="0.2">
      <c r="A21" s="244"/>
      <c r="B21" s="106" t="s">
        <v>53</v>
      </c>
      <c r="C21" s="115">
        <f>SUM(C22:C25)</f>
        <v>191260666.23999998</v>
      </c>
      <c r="D21" s="115">
        <f>SUM(D22:D25)</f>
        <v>191107893.11000004</v>
      </c>
      <c r="E21" s="116">
        <f t="shared" si="0"/>
        <v>-7.9876920332501108E-4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B21"/>
      <c r="AMC21"/>
      <c r="AMD21"/>
      <c r="AME21"/>
      <c r="AMF21"/>
      <c r="AMG21"/>
      <c r="AMH21"/>
      <c r="AMI21"/>
      <c r="AMJ21"/>
      <c r="AMK21"/>
    </row>
    <row r="22" spans="1:1025" x14ac:dyDescent="0.2">
      <c r="A22" s="244"/>
      <c r="B22" s="109" t="s">
        <v>337</v>
      </c>
      <c r="C22" s="115">
        <v>141129299.11999997</v>
      </c>
      <c r="D22" s="115">
        <v>145525440.34000003</v>
      </c>
      <c r="E22" s="116">
        <f t="shared" si="0"/>
        <v>3.1149741743293786E-2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B22"/>
      <c r="AMC22"/>
      <c r="AMD22"/>
      <c r="AME22"/>
      <c r="AMF22"/>
      <c r="AMG22"/>
      <c r="AMH22"/>
      <c r="AMI22"/>
      <c r="AMJ22"/>
      <c r="AMK22"/>
    </row>
    <row r="23" spans="1:1025" x14ac:dyDescent="0.2">
      <c r="A23" s="244"/>
      <c r="B23" s="109" t="s">
        <v>327</v>
      </c>
      <c r="C23" s="115">
        <v>10055182.500000002</v>
      </c>
      <c r="D23" s="115">
        <v>10965059.459999999</v>
      </c>
      <c r="E23" s="116">
        <f t="shared" si="0"/>
        <v>9.0488358615072081E-2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B23"/>
      <c r="AMC23"/>
      <c r="AMD23"/>
      <c r="AME23"/>
      <c r="AMF23"/>
      <c r="AMG23"/>
      <c r="AMH23"/>
      <c r="AMI23"/>
      <c r="AMJ23"/>
      <c r="AMK23"/>
    </row>
    <row r="24" spans="1:1025" x14ac:dyDescent="0.2">
      <c r="A24" s="244"/>
      <c r="B24" s="109" t="s">
        <v>346</v>
      </c>
      <c r="C24" s="115">
        <v>2298150</v>
      </c>
      <c r="D24" s="115">
        <v>12273150</v>
      </c>
      <c r="E24" s="116">
        <f t="shared" si="0"/>
        <v>4.3404477514522553</v>
      </c>
      <c r="F24"/>
      <c r="G24" s="11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x14ac:dyDescent="0.2">
      <c r="A25" s="244"/>
      <c r="B25" s="109" t="s">
        <v>347</v>
      </c>
      <c r="C25" s="115">
        <v>37778034.619999997</v>
      </c>
      <c r="D25" s="115">
        <v>22344243.309999995</v>
      </c>
      <c r="E25" s="116">
        <f t="shared" si="0"/>
        <v>-0.4085387571175878</v>
      </c>
      <c r="F25"/>
      <c r="G25" s="11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5" s="16" customFormat="1" ht="11.25" x14ac:dyDescent="0.2">
      <c r="A26" s="244"/>
      <c r="B26" s="112" t="s">
        <v>48</v>
      </c>
      <c r="C26" s="113">
        <f>C21+C15</f>
        <v>1409784704.8300002</v>
      </c>
      <c r="D26" s="113">
        <f>D21+D15</f>
        <v>1449930366.45</v>
      </c>
      <c r="E26" s="114">
        <f t="shared" si="0"/>
        <v>2.8476448554491076E-2</v>
      </c>
    </row>
    <row r="27" spans="1:1025" ht="11.25" customHeight="1" x14ac:dyDescent="0.2">
      <c r="A27" s="236" t="s">
        <v>381</v>
      </c>
      <c r="B27" s="236"/>
      <c r="C27" s="236"/>
      <c r="D27" s="236"/>
      <c r="E27" s="236"/>
    </row>
    <row r="28" spans="1:1025" x14ac:dyDescent="0.2">
      <c r="C28"/>
      <c r="D28" s="24"/>
    </row>
  </sheetData>
  <mergeCells count="5">
    <mergeCell ref="A1:E1"/>
    <mergeCell ref="A2:B2"/>
    <mergeCell ref="A3:A14"/>
    <mergeCell ref="A15:A26"/>
    <mergeCell ref="A27:E27"/>
  </mergeCells>
  <pageMargins left="1.1812499999999999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MK29"/>
  <sheetViews>
    <sheetView zoomScaleNormal="100" workbookViewId="0">
      <selection activeCell="B2" sqref="B2:D2"/>
    </sheetView>
  </sheetViews>
  <sheetFormatPr baseColWidth="10" defaultColWidth="9.140625" defaultRowHeight="12.75" x14ac:dyDescent="0.2"/>
  <cols>
    <col min="1" max="1" width="18.28515625" style="1"/>
    <col min="2" max="2" width="17.28515625" style="1" customWidth="1"/>
    <col min="3" max="3" width="17.7109375" style="1" customWidth="1"/>
    <col min="4" max="5" width="17.5703125" style="1" customWidth="1"/>
    <col min="6" max="1025" width="11" style="1"/>
  </cols>
  <sheetData>
    <row r="1" spans="1:1024" ht="21.75" customHeight="1" x14ac:dyDescent="0.2">
      <c r="A1" s="253" t="s">
        <v>300</v>
      </c>
      <c r="B1" s="253"/>
      <c r="C1" s="253"/>
      <c r="D1" s="25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6" customFormat="1" ht="11.25" x14ac:dyDescent="0.2">
      <c r="A2" s="117"/>
      <c r="B2" s="190">
        <v>2020</v>
      </c>
      <c r="C2" s="190">
        <v>2021</v>
      </c>
      <c r="D2" s="191" t="s">
        <v>252</v>
      </c>
    </row>
    <row r="3" spans="1:1024" x14ac:dyDescent="0.2">
      <c r="A3" s="118" t="s">
        <v>55</v>
      </c>
      <c r="B3" s="119">
        <v>29039865.32</v>
      </c>
      <c r="C3" s="119">
        <v>30642162.619999997</v>
      </c>
      <c r="D3" s="120">
        <f t="shared" ref="D3:D25" si="0">(C3-B3)/B3</f>
        <v>5.5175782750496484E-2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118" t="s">
        <v>56</v>
      </c>
      <c r="B4" s="119">
        <v>102845603.77</v>
      </c>
      <c r="C4" s="119">
        <v>100235036.13999999</v>
      </c>
      <c r="D4" s="120">
        <f t="shared" si="0"/>
        <v>-2.5383366272399784E-2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118" t="s">
        <v>57</v>
      </c>
      <c r="B5" s="119">
        <v>28288602.899999999</v>
      </c>
      <c r="C5" s="119">
        <v>31922821.75</v>
      </c>
      <c r="D5" s="120">
        <f t="shared" si="0"/>
        <v>0.12846936495403954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18" t="s">
        <v>58</v>
      </c>
      <c r="B6" s="119">
        <v>38972634.620000005</v>
      </c>
      <c r="C6" s="119">
        <v>42264583.459999993</v>
      </c>
      <c r="D6" s="120">
        <f t="shared" si="0"/>
        <v>8.4468213968542538E-2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118" t="s">
        <v>59</v>
      </c>
      <c r="B7" s="119">
        <v>42734596.070000008</v>
      </c>
      <c r="C7" s="119">
        <v>43436358.409999989</v>
      </c>
      <c r="D7" s="120">
        <f t="shared" si="0"/>
        <v>1.6421410391956961E-2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118" t="s">
        <v>60</v>
      </c>
      <c r="B8" s="119">
        <v>34489250</v>
      </c>
      <c r="C8" s="119">
        <v>35721000</v>
      </c>
      <c r="D8" s="120">
        <f t="shared" si="0"/>
        <v>3.5714026834448416E-2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118" t="s">
        <v>61</v>
      </c>
      <c r="B9" s="119">
        <v>444242428.95000005</v>
      </c>
      <c r="C9" s="119">
        <v>451680578.81999999</v>
      </c>
      <c r="D9" s="120">
        <f t="shared" si="0"/>
        <v>1.6743447688192602E-2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118" t="s">
        <v>62</v>
      </c>
      <c r="B10" s="119">
        <v>23144364.699999999</v>
      </c>
      <c r="C10" s="119">
        <v>22919183.259999998</v>
      </c>
      <c r="D10" s="120">
        <f t="shared" si="0"/>
        <v>-9.7294284340412839E-3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118" t="s">
        <v>63</v>
      </c>
      <c r="B11" s="119">
        <v>24600000</v>
      </c>
      <c r="C11" s="119">
        <v>21600000</v>
      </c>
      <c r="D11" s="120">
        <f t="shared" si="0"/>
        <v>-0.12195121951219512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">
      <c r="A12" s="118" t="s">
        <v>64</v>
      </c>
      <c r="B12" s="119">
        <v>17024193.879999999</v>
      </c>
      <c r="C12" s="119">
        <v>16058209.389999999</v>
      </c>
      <c r="D12" s="120">
        <f t="shared" si="0"/>
        <v>-5.6741863773933962E-2</v>
      </c>
      <c r="E12"/>
      <c r="F12" s="5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">
      <c r="A13" s="118" t="s">
        <v>65</v>
      </c>
      <c r="B13" s="119">
        <v>333690619.42000031</v>
      </c>
      <c r="C13" s="119">
        <f>C14-C12-C11-C10-C9-C8-C7-C6-C5-C4-C3</f>
        <v>298006002.43000001</v>
      </c>
      <c r="D13" s="120">
        <f t="shared" si="0"/>
        <v>-0.1069392272759271</v>
      </c>
      <c r="E13"/>
      <c r="F13" s="5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s="16" customFormat="1" ht="11.25" x14ac:dyDescent="0.2">
      <c r="A14" s="121" t="s">
        <v>66</v>
      </c>
      <c r="B14" s="122">
        <v>1062494953.8300004</v>
      </c>
      <c r="C14" s="122">
        <v>1094485936.28</v>
      </c>
      <c r="D14" s="123">
        <f t="shared" si="0"/>
        <v>3.0109302952151376E-2</v>
      </c>
    </row>
    <row r="15" spans="1:1024" x14ac:dyDescent="0.2">
      <c r="A15" s="118" t="s">
        <v>67</v>
      </c>
      <c r="B15" s="119">
        <v>35484593.829999998</v>
      </c>
      <c r="C15" s="119">
        <v>35265860.559999995</v>
      </c>
      <c r="D15" s="120">
        <f t="shared" si="0"/>
        <v>-6.1641756715016425E-3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118" t="s">
        <v>68</v>
      </c>
      <c r="B16" s="119">
        <v>38715780</v>
      </c>
      <c r="C16" s="119">
        <v>42781720</v>
      </c>
      <c r="D16" s="120">
        <f t="shared" si="0"/>
        <v>0.1050202268945634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">
      <c r="A17" s="118" t="s">
        <v>65</v>
      </c>
      <c r="B17" s="119">
        <v>54604528.959999993</v>
      </c>
      <c r="C17" s="119">
        <f>C18-C16-C15</f>
        <v>54693863.180000015</v>
      </c>
      <c r="D17" s="120">
        <f t="shared" si="0"/>
        <v>1.6360221707152178E-3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16" customFormat="1" ht="11.25" x14ac:dyDescent="0.2">
      <c r="A18" s="121" t="s">
        <v>69</v>
      </c>
      <c r="B18" s="122">
        <v>128804902.78999999</v>
      </c>
      <c r="C18" s="122">
        <v>132741443.74000001</v>
      </c>
      <c r="D18" s="123">
        <f t="shared" si="0"/>
        <v>3.0562042785110804E-2</v>
      </c>
    </row>
    <row r="19" spans="1:1024" x14ac:dyDescent="0.2">
      <c r="A19" s="118" t="s">
        <v>70</v>
      </c>
      <c r="B19" s="119">
        <v>69217540</v>
      </c>
      <c r="C19" s="119">
        <v>68467540</v>
      </c>
      <c r="D19" s="120">
        <f t="shared" si="0"/>
        <v>-1.0835403858617339E-2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118" t="s">
        <v>71</v>
      </c>
      <c r="B20" s="119">
        <v>41270000</v>
      </c>
      <c r="C20" s="119">
        <v>43500000</v>
      </c>
      <c r="D20" s="120">
        <f t="shared" si="0"/>
        <v>5.4034407559970923E-2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118" t="s">
        <v>72</v>
      </c>
      <c r="B21" s="119">
        <v>37835223.039999992</v>
      </c>
      <c r="C21" s="119">
        <v>39857377.980000004</v>
      </c>
      <c r="D21" s="120">
        <f t="shared" si="0"/>
        <v>5.3446359701967622E-2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118" t="s">
        <v>73</v>
      </c>
      <c r="B22" s="119">
        <v>30060000</v>
      </c>
      <c r="C22" s="119">
        <v>30640000</v>
      </c>
      <c r="D22" s="120">
        <f t="shared" si="0"/>
        <v>1.9294743845642049E-2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118" t="s">
        <v>65</v>
      </c>
      <c r="B23" s="119">
        <v>40102085.169999987</v>
      </c>
      <c r="C23" s="119">
        <f>C24-C22-C21-C20-C19</f>
        <v>39915305.449999988</v>
      </c>
      <c r="D23" s="120">
        <f t="shared" si="0"/>
        <v>-4.6576061870151099E-3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16" customFormat="1" ht="11.25" x14ac:dyDescent="0.2">
      <c r="A24" s="121" t="s">
        <v>74</v>
      </c>
      <c r="B24" s="122">
        <v>218484848.20999998</v>
      </c>
      <c r="C24" s="122">
        <v>222380223.43000001</v>
      </c>
      <c r="D24" s="123">
        <f t="shared" si="0"/>
        <v>1.7829040557796164E-2</v>
      </c>
    </row>
    <row r="25" spans="1:1024" s="16" customFormat="1" ht="11.25" x14ac:dyDescent="0.2">
      <c r="A25" s="121" t="s">
        <v>48</v>
      </c>
      <c r="B25" s="122">
        <v>1409784704.8300004</v>
      </c>
      <c r="C25" s="122">
        <v>1449607603.45</v>
      </c>
      <c r="D25" s="123">
        <f t="shared" si="0"/>
        <v>2.8247503667449499E-2</v>
      </c>
    </row>
    <row r="26" spans="1:1024" ht="11.25" customHeight="1" x14ac:dyDescent="0.2">
      <c r="A26" s="236" t="s">
        <v>382</v>
      </c>
      <c r="B26" s="236"/>
      <c r="C26" s="236"/>
      <c r="D26" s="236"/>
    </row>
    <row r="27" spans="1:1024" x14ac:dyDescent="0.2">
      <c r="C27" s="33"/>
    </row>
    <row r="28" spans="1:1024" x14ac:dyDescent="0.2">
      <c r="C28"/>
    </row>
    <row r="29" spans="1:1024" x14ac:dyDescent="0.2">
      <c r="C29"/>
    </row>
  </sheetData>
  <mergeCells count="2">
    <mergeCell ref="A1:D1"/>
    <mergeCell ref="A26:D26"/>
  </mergeCells>
  <pageMargins left="1.1812499999999999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MK30"/>
  <sheetViews>
    <sheetView zoomScaleNormal="100" workbookViewId="0">
      <selection activeCell="A3" sqref="A3:A26"/>
    </sheetView>
  </sheetViews>
  <sheetFormatPr baseColWidth="10" defaultColWidth="9.140625" defaultRowHeight="12.75" x14ac:dyDescent="0.2"/>
  <cols>
    <col min="1" max="1" width="11" style="1"/>
    <col min="2" max="2" width="26.42578125" style="1"/>
    <col min="3" max="5" width="14.140625" style="1"/>
    <col min="6" max="6" width="11" style="1"/>
    <col min="7" max="7" width="11.85546875" style="1"/>
    <col min="8" max="1025" width="11" style="1"/>
  </cols>
  <sheetData>
    <row r="1" spans="1:1024" x14ac:dyDescent="0.2">
      <c r="A1" s="254" t="s">
        <v>301</v>
      </c>
      <c r="B1" s="254"/>
      <c r="C1" s="254"/>
      <c r="D1" s="254"/>
      <c r="E1" s="254"/>
      <c r="F1" s="25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255"/>
      <c r="B2" s="256"/>
      <c r="C2" s="190">
        <v>2020</v>
      </c>
      <c r="D2" s="190">
        <v>2021</v>
      </c>
      <c r="E2" s="190" t="s">
        <v>251</v>
      </c>
      <c r="F2" s="192" t="s">
        <v>233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x14ac:dyDescent="0.2">
      <c r="A3" s="257" t="s">
        <v>27</v>
      </c>
      <c r="B3" s="124" t="s">
        <v>52</v>
      </c>
      <c r="C3" s="119">
        <v>426262160.20999998</v>
      </c>
      <c r="D3" s="119">
        <v>412703062.05000001</v>
      </c>
      <c r="E3" s="119">
        <f t="shared" ref="E3:E26" si="0">D3-C3</f>
        <v>-13559098.159999967</v>
      </c>
      <c r="F3" s="125">
        <f t="shared" ref="F3:F9" si="1">E3/C3</f>
        <v>-3.1809293495158042E-2</v>
      </c>
      <c r="G3" s="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">
      <c r="A4" s="258"/>
      <c r="B4" s="126" t="s">
        <v>321</v>
      </c>
      <c r="C4" s="119">
        <v>191053380.78999999</v>
      </c>
      <c r="D4" s="119">
        <v>186797732.59999999</v>
      </c>
      <c r="E4" s="119">
        <f t="shared" si="0"/>
        <v>-4255648.1899999976</v>
      </c>
      <c r="F4" s="125">
        <f t="shared" si="1"/>
        <v>-2.2274655242440725E-2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">
      <c r="A5" s="258"/>
      <c r="B5" s="126" t="s">
        <v>322</v>
      </c>
      <c r="C5" s="119">
        <v>29836999.960000001</v>
      </c>
      <c r="D5" s="119">
        <v>29033235.210000001</v>
      </c>
      <c r="E5" s="119">
        <f t="shared" si="0"/>
        <v>-803764.75</v>
      </c>
      <c r="F5" s="125">
        <f t="shared" si="1"/>
        <v>-2.6938524351561514E-2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58"/>
      <c r="B6" s="126" t="s">
        <v>344</v>
      </c>
      <c r="C6" s="119">
        <v>107663629.01000001</v>
      </c>
      <c r="D6" s="119">
        <v>98012154.569999993</v>
      </c>
      <c r="E6" s="119">
        <f t="shared" si="0"/>
        <v>-9651474.4400000125</v>
      </c>
      <c r="F6" s="125">
        <f t="shared" si="1"/>
        <v>-8.9644706654868234E-2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258"/>
      <c r="B7" s="126" t="s">
        <v>324</v>
      </c>
      <c r="C7" s="119">
        <v>92182410.450000003</v>
      </c>
      <c r="D7" s="119">
        <v>93621277.840000004</v>
      </c>
      <c r="E7" s="119">
        <f t="shared" si="0"/>
        <v>1438867.3900000006</v>
      </c>
      <c r="F7" s="125">
        <f t="shared" si="1"/>
        <v>1.5608914791617934E-2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258"/>
      <c r="B8" s="126" t="s">
        <v>325</v>
      </c>
      <c r="C8" s="119">
        <v>5525740</v>
      </c>
      <c r="D8" s="119">
        <v>5238661.83</v>
      </c>
      <c r="E8" s="119">
        <f t="shared" si="0"/>
        <v>-287078.16999999993</v>
      </c>
      <c r="F8" s="125">
        <f t="shared" si="1"/>
        <v>-5.1952891377444459E-2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58"/>
      <c r="B9" s="124" t="s">
        <v>53</v>
      </c>
      <c r="C9" s="119">
        <v>17980268.740000002</v>
      </c>
      <c r="D9" s="119">
        <v>38977516.770000003</v>
      </c>
      <c r="E9" s="119">
        <f t="shared" si="0"/>
        <v>20997248.030000001</v>
      </c>
      <c r="F9" s="125">
        <f t="shared" si="1"/>
        <v>1.1677938930516785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8"/>
      <c r="B10" s="126" t="s">
        <v>326</v>
      </c>
      <c r="C10" s="119">
        <v>0</v>
      </c>
      <c r="D10" s="119">
        <v>0</v>
      </c>
      <c r="E10" s="119">
        <f t="shared" si="0"/>
        <v>0</v>
      </c>
      <c r="F10" s="125">
        <v>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258"/>
      <c r="B11" s="126" t="s">
        <v>327</v>
      </c>
      <c r="C11" s="119">
        <v>6075039.1500000004</v>
      </c>
      <c r="D11" s="119">
        <v>11052309.15</v>
      </c>
      <c r="E11" s="119">
        <f t="shared" si="0"/>
        <v>4977270</v>
      </c>
      <c r="F11" s="125">
        <f>E11/C11</f>
        <v>0.8192984237805282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">
      <c r="A12" s="258"/>
      <c r="B12" s="126" t="s">
        <v>346</v>
      </c>
      <c r="C12" s="119">
        <v>3824000</v>
      </c>
      <c r="D12" s="119">
        <v>3884000</v>
      </c>
      <c r="E12" s="119">
        <f t="shared" si="0"/>
        <v>60000</v>
      </c>
      <c r="F12" s="125">
        <f>E12/C12</f>
        <v>1.5690376569037656E-2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">
      <c r="A13" s="258"/>
      <c r="B13" s="126" t="s">
        <v>347</v>
      </c>
      <c r="C13" s="119">
        <v>8081229.5899999999</v>
      </c>
      <c r="D13" s="119">
        <v>24041207.620000001</v>
      </c>
      <c r="E13" s="119">
        <f t="shared" si="0"/>
        <v>15959978.030000001</v>
      </c>
      <c r="F13" s="127" t="s">
        <v>229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s="16" customFormat="1" ht="11.25" x14ac:dyDescent="0.2">
      <c r="A14" s="259"/>
      <c r="B14" s="128" t="s">
        <v>28</v>
      </c>
      <c r="C14" s="122">
        <v>444242428.94999999</v>
      </c>
      <c r="D14" s="122">
        <v>451680578.81999999</v>
      </c>
      <c r="E14" s="122">
        <f t="shared" si="0"/>
        <v>7438149.8700000048</v>
      </c>
      <c r="F14" s="129">
        <f t="shared" ref="F14:F26" si="2">E14/C14</f>
        <v>1.674344768819274E-2</v>
      </c>
    </row>
    <row r="15" spans="1:1024" ht="13.5" thickBot="1" x14ac:dyDescent="0.25">
      <c r="A15" s="260" t="s">
        <v>29</v>
      </c>
      <c r="B15" s="124" t="s">
        <v>52</v>
      </c>
      <c r="C15" s="119">
        <v>392540954.79000008</v>
      </c>
      <c r="D15" s="119">
        <v>395311022.22000003</v>
      </c>
      <c r="E15" s="119">
        <f t="shared" si="0"/>
        <v>2770067.4299999475</v>
      </c>
      <c r="F15" s="125">
        <f t="shared" si="2"/>
        <v>7.0567603104798749E-3</v>
      </c>
      <c r="G15"/>
      <c r="H15"/>
      <c r="I15"/>
      <c r="J15" s="16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3.5" thickBot="1" x14ac:dyDescent="0.25">
      <c r="A16" s="260"/>
      <c r="B16" s="126" t="s">
        <v>348</v>
      </c>
      <c r="C16" s="119">
        <v>181164436.27000001</v>
      </c>
      <c r="D16" s="119">
        <v>183333052.27000001</v>
      </c>
      <c r="E16" s="119">
        <f t="shared" si="0"/>
        <v>2168616</v>
      </c>
      <c r="F16" s="125">
        <f t="shared" si="2"/>
        <v>1.1970428880246584E-2</v>
      </c>
      <c r="G16"/>
      <c r="H16"/>
      <c r="I16"/>
      <c r="J16" s="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3.5" thickBot="1" x14ac:dyDescent="0.25">
      <c r="A17" s="260"/>
      <c r="B17" s="126" t="s">
        <v>354</v>
      </c>
      <c r="C17" s="119">
        <v>141043780.06</v>
      </c>
      <c r="D17" s="119">
        <v>142222342.63999999</v>
      </c>
      <c r="E17" s="119">
        <f t="shared" si="0"/>
        <v>1178562.5799999833</v>
      </c>
      <c r="F17" s="125">
        <f t="shared" si="2"/>
        <v>8.3560053445718985E-3</v>
      </c>
      <c r="G17"/>
      <c r="H17"/>
      <c r="I17"/>
      <c r="J17" s="16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3.5" thickBot="1" x14ac:dyDescent="0.25">
      <c r="A18" s="260"/>
      <c r="B18" s="126" t="s">
        <v>350</v>
      </c>
      <c r="C18" s="119">
        <v>7430547.54</v>
      </c>
      <c r="D18" s="119">
        <v>5937052.5599999996</v>
      </c>
      <c r="E18" s="119">
        <f t="shared" si="0"/>
        <v>-1493494.9800000004</v>
      </c>
      <c r="F18" s="125">
        <f t="shared" si="2"/>
        <v>-0.20099393375255903</v>
      </c>
      <c r="G18"/>
      <c r="H18"/>
      <c r="I18"/>
      <c r="J18" s="16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thickBot="1" x14ac:dyDescent="0.25">
      <c r="A19" s="260"/>
      <c r="B19" s="126" t="s">
        <v>324</v>
      </c>
      <c r="C19" s="119">
        <v>58717532.509999998</v>
      </c>
      <c r="D19" s="119">
        <v>59618574.75</v>
      </c>
      <c r="E19" s="119">
        <f t="shared" si="0"/>
        <v>901042.24000000209</v>
      </c>
      <c r="F19" s="125">
        <f t="shared" si="2"/>
        <v>1.5345369627828766E-2</v>
      </c>
      <c r="G19"/>
      <c r="H19"/>
      <c r="I19"/>
      <c r="J19" s="16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3.5" thickBot="1" x14ac:dyDescent="0.25">
      <c r="A20" s="260"/>
      <c r="B20" s="126" t="s">
        <v>351</v>
      </c>
      <c r="C20" s="119">
        <v>4184658.41</v>
      </c>
      <c r="D20" s="119">
        <v>4200000</v>
      </c>
      <c r="E20" s="119">
        <f t="shared" si="0"/>
        <v>15341.589999999851</v>
      </c>
      <c r="F20" s="125">
        <f t="shared" si="2"/>
        <v>3.6661510921269795E-3</v>
      </c>
      <c r="G20"/>
      <c r="H20"/>
      <c r="I20"/>
      <c r="J20" s="16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3.5" thickBot="1" x14ac:dyDescent="0.25">
      <c r="A21" s="260"/>
      <c r="B21" s="124" t="s">
        <v>53</v>
      </c>
      <c r="C21" s="119">
        <v>51701474.159999996</v>
      </c>
      <c r="D21" s="119">
        <v>56369556.600000001</v>
      </c>
      <c r="E21" s="119">
        <f t="shared" si="0"/>
        <v>4668082.4400000051</v>
      </c>
      <c r="F21" s="125">
        <f t="shared" si="2"/>
        <v>9.0289155499778215E-2</v>
      </c>
      <c r="G21"/>
      <c r="H21"/>
      <c r="I21"/>
      <c r="J21" s="16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3.5" thickBot="1" x14ac:dyDescent="0.25">
      <c r="A22" s="260"/>
      <c r="B22" s="126" t="s">
        <v>337</v>
      </c>
      <c r="C22" s="119">
        <v>24738315.52</v>
      </c>
      <c r="D22" s="119">
        <v>31034111.98</v>
      </c>
      <c r="E22" s="119">
        <f t="shared" si="0"/>
        <v>6295796.4600000009</v>
      </c>
      <c r="F22" s="125">
        <f t="shared" si="2"/>
        <v>0.25449576204612984</v>
      </c>
      <c r="G22"/>
      <c r="H22"/>
      <c r="I22"/>
      <c r="J22" s="16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3.5" thickBot="1" x14ac:dyDescent="0.25">
      <c r="A23" s="260"/>
      <c r="B23" s="126" t="s">
        <v>327</v>
      </c>
      <c r="C23" s="119">
        <v>1577322.09</v>
      </c>
      <c r="D23" s="119">
        <v>1321136.56</v>
      </c>
      <c r="E23" s="119">
        <f t="shared" si="0"/>
        <v>-256185.53000000003</v>
      </c>
      <c r="F23" s="125">
        <f t="shared" si="2"/>
        <v>-0.16241801951813153</v>
      </c>
      <c r="G23"/>
      <c r="H23"/>
      <c r="I23"/>
      <c r="J23" s="16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3.5" thickBot="1" x14ac:dyDescent="0.25">
      <c r="A24" s="260"/>
      <c r="B24" s="126" t="s">
        <v>346</v>
      </c>
      <c r="C24" s="119">
        <v>1474000</v>
      </c>
      <c r="D24" s="119">
        <v>11474000</v>
      </c>
      <c r="E24" s="119">
        <f t="shared" si="0"/>
        <v>10000000</v>
      </c>
      <c r="F24" s="125">
        <f t="shared" si="2"/>
        <v>6.7842605156037994</v>
      </c>
      <c r="G24"/>
      <c r="H24"/>
      <c r="I24"/>
      <c r="J24" s="16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3.5" thickBot="1" x14ac:dyDescent="0.25">
      <c r="A25" s="260"/>
      <c r="B25" s="126" t="s">
        <v>347</v>
      </c>
      <c r="C25" s="119">
        <v>23911836.550000001</v>
      </c>
      <c r="D25" s="119">
        <v>12540308.060000001</v>
      </c>
      <c r="E25" s="119">
        <f t="shared" si="0"/>
        <v>-11371528.49</v>
      </c>
      <c r="F25" s="125">
        <f t="shared" si="2"/>
        <v>-0.47556064822632788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16" customFormat="1" ht="12" thickBot="1" x14ac:dyDescent="0.25">
      <c r="A26" s="260"/>
      <c r="B26" s="130" t="s">
        <v>30</v>
      </c>
      <c r="C26" s="131">
        <v>444242428.95000005</v>
      </c>
      <c r="D26" s="131">
        <v>451680578.81999999</v>
      </c>
      <c r="E26" s="131">
        <f t="shared" si="0"/>
        <v>7438149.8699999452</v>
      </c>
      <c r="F26" s="132">
        <f t="shared" si="2"/>
        <v>1.6743447688192602E-2</v>
      </c>
    </row>
    <row r="27" spans="1:1024" ht="11.25" customHeight="1" x14ac:dyDescent="0.2">
      <c r="A27" s="236" t="s">
        <v>355</v>
      </c>
      <c r="B27" s="236"/>
      <c r="C27" s="236"/>
      <c r="D27" s="236"/>
      <c r="E27" s="236"/>
      <c r="F27" s="236"/>
    </row>
    <row r="28" spans="1:1024" x14ac:dyDescent="0.2">
      <c r="B28" s="32"/>
      <c r="C28"/>
    </row>
    <row r="29" spans="1:1024" x14ac:dyDescent="0.2">
      <c r="C29"/>
      <c r="D29" s="5" t="s">
        <v>232</v>
      </c>
    </row>
    <row r="30" spans="1:1024" x14ac:dyDescent="0.2">
      <c r="C30"/>
    </row>
  </sheetData>
  <mergeCells count="5">
    <mergeCell ref="A1:F1"/>
    <mergeCell ref="A2:B2"/>
    <mergeCell ref="A3:A14"/>
    <mergeCell ref="A15:A26"/>
    <mergeCell ref="A27:F27"/>
  </mergeCells>
  <pageMargins left="1.1812499999999999" right="0.74791666666666701" top="0.98402777777777795" bottom="0.98402777777777795" header="0.51180555555555496" footer="0.51180555555555496"/>
  <pageSetup paperSize="9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K29"/>
  <sheetViews>
    <sheetView zoomScaleNormal="100" workbookViewId="0">
      <selection activeCell="A3" sqref="A3:A25"/>
    </sheetView>
  </sheetViews>
  <sheetFormatPr baseColWidth="10" defaultColWidth="11.42578125" defaultRowHeight="12.75" x14ac:dyDescent="0.2"/>
  <cols>
    <col min="1" max="1" width="11" style="1"/>
    <col min="2" max="2" width="26.140625" style="1"/>
    <col min="3" max="5" width="14.140625" style="1"/>
    <col min="6" max="7" width="11" style="1"/>
    <col min="8" max="8" width="15" style="1" customWidth="1"/>
    <col min="9" max="1025" width="11" style="1"/>
  </cols>
  <sheetData>
    <row r="1" spans="1:1025" x14ac:dyDescent="0.2">
      <c r="A1" s="246" t="s">
        <v>302</v>
      </c>
      <c r="B1" s="246"/>
      <c r="C1" s="246"/>
      <c r="D1" s="246"/>
      <c r="E1" s="246"/>
      <c r="F1" s="246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5" x14ac:dyDescent="0.2">
      <c r="A2" s="238"/>
      <c r="B2" s="238"/>
      <c r="C2" s="188">
        <v>2020</v>
      </c>
      <c r="D2" s="188">
        <v>2021</v>
      </c>
      <c r="E2" s="188" t="s">
        <v>245</v>
      </c>
      <c r="F2" s="188" t="s">
        <v>244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</row>
    <row r="3" spans="1:1025" x14ac:dyDescent="0.2">
      <c r="A3" s="244" t="s">
        <v>27</v>
      </c>
      <c r="B3" s="106" t="s">
        <v>52</v>
      </c>
      <c r="C3" s="115">
        <v>99587806.539999992</v>
      </c>
      <c r="D3" s="115">
        <f>SUM(D4:D8)</f>
        <v>95877036.140000001</v>
      </c>
      <c r="E3" s="115">
        <f t="shared" ref="E3:E25" si="0">D3-C3</f>
        <v>-3710770.3999999911</v>
      </c>
      <c r="F3" s="116">
        <f t="shared" ref="F3:F11" si="1">E3/C3</f>
        <v>-3.7261292611254972E-2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</row>
    <row r="4" spans="1:1025" x14ac:dyDescent="0.2">
      <c r="A4" s="244"/>
      <c r="B4" s="109" t="s">
        <v>321</v>
      </c>
      <c r="C4" s="115">
        <v>54720000</v>
      </c>
      <c r="D4" s="115">
        <v>51450000</v>
      </c>
      <c r="E4" s="115">
        <f t="shared" si="0"/>
        <v>-3270000</v>
      </c>
      <c r="F4" s="116">
        <f t="shared" si="1"/>
        <v>-5.975877192982456E-2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x14ac:dyDescent="0.2">
      <c r="A5" s="244"/>
      <c r="B5" s="109" t="s">
        <v>322</v>
      </c>
      <c r="C5" s="115">
        <v>6101500</v>
      </c>
      <c r="D5" s="115">
        <v>5501700</v>
      </c>
      <c r="E5" s="115">
        <f t="shared" si="0"/>
        <v>-599800</v>
      </c>
      <c r="F5" s="116">
        <f t="shared" si="1"/>
        <v>-9.8303695812505115E-2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</row>
    <row r="6" spans="1:1025" x14ac:dyDescent="0.2">
      <c r="A6" s="244"/>
      <c r="B6" s="109" t="s">
        <v>344</v>
      </c>
      <c r="C6" s="115">
        <v>11844702.890000001</v>
      </c>
      <c r="D6" s="115">
        <v>11184324.119999999</v>
      </c>
      <c r="E6" s="115">
        <f t="shared" si="0"/>
        <v>-660378.77000000142</v>
      </c>
      <c r="F6" s="116">
        <f t="shared" si="1"/>
        <v>-5.5753088628126946E-2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 x14ac:dyDescent="0.2">
      <c r="A7" s="244"/>
      <c r="B7" s="109" t="s">
        <v>324</v>
      </c>
      <c r="C7" s="115">
        <v>22731089.149999999</v>
      </c>
      <c r="D7" s="115">
        <v>22832135.780000001</v>
      </c>
      <c r="E7" s="115">
        <f t="shared" si="0"/>
        <v>101046.63000000268</v>
      </c>
      <c r="F7" s="116">
        <f t="shared" si="1"/>
        <v>4.4453052527842771E-3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x14ac:dyDescent="0.2">
      <c r="A8" s="244"/>
      <c r="B8" s="109" t="s">
        <v>325</v>
      </c>
      <c r="C8" s="115">
        <v>4190514.5</v>
      </c>
      <c r="D8" s="115">
        <v>4908876.24</v>
      </c>
      <c r="E8" s="115">
        <f t="shared" si="0"/>
        <v>718361.74000000022</v>
      </c>
      <c r="F8" s="116">
        <f t="shared" si="1"/>
        <v>0.17142566622785824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</row>
    <row r="9" spans="1:1025" x14ac:dyDescent="0.2">
      <c r="A9" s="244"/>
      <c r="B9" s="106" t="s">
        <v>53</v>
      </c>
      <c r="C9" s="115">
        <v>3257797.23</v>
      </c>
      <c r="D9" s="115">
        <f>SUM(D10:D13)</f>
        <v>4358000</v>
      </c>
      <c r="E9" s="115">
        <f t="shared" si="0"/>
        <v>1100202.77</v>
      </c>
      <c r="F9" s="116">
        <f t="shared" si="1"/>
        <v>0.33771370417673297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x14ac:dyDescent="0.2">
      <c r="A10" s="244"/>
      <c r="B10" s="109" t="s">
        <v>326</v>
      </c>
      <c r="C10" s="115">
        <v>2000</v>
      </c>
      <c r="D10" s="115">
        <v>0</v>
      </c>
      <c r="E10" s="115">
        <f t="shared" si="0"/>
        <v>-2000</v>
      </c>
      <c r="F10" s="116">
        <f t="shared" si="1"/>
        <v>-1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x14ac:dyDescent="0.2">
      <c r="A11" s="244"/>
      <c r="B11" s="109" t="s">
        <v>327</v>
      </c>
      <c r="C11" s="115">
        <v>2901797.23</v>
      </c>
      <c r="D11" s="115">
        <v>4004000</v>
      </c>
      <c r="E11" s="115">
        <f t="shared" si="0"/>
        <v>1102202.77</v>
      </c>
      <c r="F11" s="116">
        <f t="shared" si="1"/>
        <v>0.37983452413730506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x14ac:dyDescent="0.2">
      <c r="A12" s="244"/>
      <c r="B12" s="109" t="s">
        <v>346</v>
      </c>
      <c r="C12" s="115">
        <v>354000</v>
      </c>
      <c r="D12" s="115">
        <v>354000</v>
      </c>
      <c r="E12" s="115">
        <f t="shared" si="0"/>
        <v>0</v>
      </c>
      <c r="F12" s="116">
        <f>E12/C12</f>
        <v>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 x14ac:dyDescent="0.2">
      <c r="A13" s="244"/>
      <c r="B13" s="109" t="s">
        <v>347</v>
      </c>
      <c r="C13" s="115">
        <v>0</v>
      </c>
      <c r="D13" s="115">
        <v>0</v>
      </c>
      <c r="E13" s="115">
        <f t="shared" si="0"/>
        <v>0</v>
      </c>
      <c r="F13" s="116">
        <v>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 s="16" customFormat="1" ht="11.25" x14ac:dyDescent="0.2">
      <c r="A14" s="244"/>
      <c r="B14" s="112" t="s">
        <v>28</v>
      </c>
      <c r="C14" s="113">
        <v>102845603.77</v>
      </c>
      <c r="D14" s="113">
        <f>D9+D3</f>
        <v>100235036.14</v>
      </c>
      <c r="E14" s="113">
        <f t="shared" si="0"/>
        <v>-2610567.6299999952</v>
      </c>
      <c r="F14" s="114">
        <f t="shared" ref="F14:F25" si="2">E14/C14</f>
        <v>-2.5383366272399642E-2</v>
      </c>
    </row>
    <row r="15" spans="1:1025" x14ac:dyDescent="0.2">
      <c r="A15" s="244" t="s">
        <v>29</v>
      </c>
      <c r="B15" s="106" t="s">
        <v>52</v>
      </c>
      <c r="C15" s="115">
        <v>89172856.769999996</v>
      </c>
      <c r="D15" s="115">
        <f>SUM(D16:D19)</f>
        <v>92223195.069999993</v>
      </c>
      <c r="E15" s="115">
        <f t="shared" si="0"/>
        <v>3050338.299999997</v>
      </c>
      <c r="F15" s="116">
        <f t="shared" si="2"/>
        <v>3.4207026784704379E-2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1:1025" x14ac:dyDescent="0.2">
      <c r="A16" s="244"/>
      <c r="B16" s="109" t="s">
        <v>348</v>
      </c>
      <c r="C16" s="115">
        <v>42350740.5</v>
      </c>
      <c r="D16" s="115">
        <v>43037764.409999996</v>
      </c>
      <c r="E16" s="115">
        <f t="shared" si="0"/>
        <v>687023.90999999642</v>
      </c>
      <c r="F16" s="116">
        <f t="shared" si="2"/>
        <v>1.62222407893906E-2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1:1025" x14ac:dyDescent="0.2">
      <c r="A17" s="244"/>
      <c r="B17" s="109" t="s">
        <v>354</v>
      </c>
      <c r="C17" s="115">
        <v>22915466.18</v>
      </c>
      <c r="D17" s="115">
        <v>23824076.66</v>
      </c>
      <c r="E17" s="115">
        <f t="shared" si="0"/>
        <v>908610.48000000045</v>
      </c>
      <c r="F17" s="116">
        <f t="shared" si="2"/>
        <v>3.9650534397288897E-2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</row>
    <row r="18" spans="1:1025" x14ac:dyDescent="0.2">
      <c r="A18" s="244"/>
      <c r="B18" s="109" t="s">
        <v>350</v>
      </c>
      <c r="C18" s="115">
        <v>339484.07</v>
      </c>
      <c r="D18" s="115">
        <v>358600</v>
      </c>
      <c r="E18" s="115">
        <f t="shared" si="0"/>
        <v>19115.929999999993</v>
      </c>
      <c r="F18" s="116">
        <f t="shared" si="2"/>
        <v>5.6308768773745382E-2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</row>
    <row r="19" spans="1:1025" x14ac:dyDescent="0.2">
      <c r="A19" s="244"/>
      <c r="B19" s="109" t="s">
        <v>324</v>
      </c>
      <c r="C19" s="115">
        <v>23567166.02</v>
      </c>
      <c r="D19" s="115">
        <v>25002754</v>
      </c>
      <c r="E19" s="115">
        <f t="shared" si="0"/>
        <v>1435587.9800000004</v>
      </c>
      <c r="F19" s="116">
        <f t="shared" si="2"/>
        <v>6.0914748034689679E-2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</row>
    <row r="20" spans="1:1025" x14ac:dyDescent="0.2">
      <c r="A20" s="244"/>
      <c r="B20" s="106" t="s">
        <v>53</v>
      </c>
      <c r="C20" s="115">
        <v>13672747</v>
      </c>
      <c r="D20" s="115">
        <f>SUM(D21:D24)</f>
        <v>8011841.0700000003</v>
      </c>
      <c r="E20" s="115">
        <f t="shared" si="0"/>
        <v>-5660905.9299999997</v>
      </c>
      <c r="F20" s="116">
        <f t="shared" si="2"/>
        <v>-0.41402842676749591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</row>
    <row r="21" spans="1:1025" x14ac:dyDescent="0.2">
      <c r="A21" s="244"/>
      <c r="B21" s="109" t="s">
        <v>337</v>
      </c>
      <c r="C21" s="115">
        <v>8784997</v>
      </c>
      <c r="D21" s="115">
        <v>4817841.07</v>
      </c>
      <c r="E21" s="115">
        <f t="shared" si="0"/>
        <v>-3967155.9299999997</v>
      </c>
      <c r="F21" s="116">
        <f t="shared" si="2"/>
        <v>-0.45158307168460043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</row>
    <row r="22" spans="1:1025" x14ac:dyDescent="0.2">
      <c r="A22" s="244"/>
      <c r="B22" s="109" t="s">
        <v>327</v>
      </c>
      <c r="C22" s="115">
        <v>1373750</v>
      </c>
      <c r="D22" s="115">
        <v>190000</v>
      </c>
      <c r="E22" s="115">
        <f t="shared" si="0"/>
        <v>-1183750</v>
      </c>
      <c r="F22" s="116">
        <f t="shared" si="2"/>
        <v>-0.86169244767970887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</row>
    <row r="23" spans="1:1025" x14ac:dyDescent="0.2">
      <c r="A23" s="244"/>
      <c r="B23" s="109" t="s">
        <v>346</v>
      </c>
      <c r="C23" s="115">
        <v>354000</v>
      </c>
      <c r="D23" s="115">
        <v>354000</v>
      </c>
      <c r="E23" s="115">
        <f t="shared" si="0"/>
        <v>0</v>
      </c>
      <c r="F23" s="116">
        <f t="shared" si="2"/>
        <v>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</row>
    <row r="24" spans="1:1025" x14ac:dyDescent="0.2">
      <c r="A24" s="244"/>
      <c r="B24" s="109" t="s">
        <v>347</v>
      </c>
      <c r="C24" s="115">
        <v>3160000</v>
      </c>
      <c r="D24" s="115">
        <v>2650000</v>
      </c>
      <c r="E24" s="115">
        <f t="shared" si="0"/>
        <v>-510000</v>
      </c>
      <c r="F24" s="116">
        <f t="shared" si="2"/>
        <v>-0.16139240506329114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</row>
    <row r="25" spans="1:1025" s="16" customFormat="1" ht="11.25" x14ac:dyDescent="0.2">
      <c r="A25" s="244"/>
      <c r="B25" s="112" t="s">
        <v>30</v>
      </c>
      <c r="C25" s="113">
        <v>102845603.77</v>
      </c>
      <c r="D25" s="113">
        <f>+D20+D15</f>
        <v>100235036.13999999</v>
      </c>
      <c r="E25" s="113">
        <f t="shared" si="0"/>
        <v>-2610567.6300000101</v>
      </c>
      <c r="F25" s="114">
        <f t="shared" si="2"/>
        <v>-2.5383366272399784E-2</v>
      </c>
    </row>
    <row r="26" spans="1:1025" ht="11.25" customHeight="1" x14ac:dyDescent="0.2">
      <c r="A26" s="236" t="s">
        <v>228</v>
      </c>
      <c r="B26" s="236"/>
      <c r="C26" s="236"/>
      <c r="D26" s="236"/>
      <c r="E26" s="236"/>
      <c r="F26" s="23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</row>
    <row r="27" spans="1:1025" x14ac:dyDescent="0.2">
      <c r="C27"/>
    </row>
    <row r="29" spans="1:1025" x14ac:dyDescent="0.2">
      <c r="C29"/>
    </row>
  </sheetData>
  <mergeCells count="5">
    <mergeCell ref="A1:F1"/>
    <mergeCell ref="A2:B2"/>
    <mergeCell ref="A3:A14"/>
    <mergeCell ref="A15:A25"/>
    <mergeCell ref="A26:F26"/>
  </mergeCells>
  <pageMargins left="1.1812499999999999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AMK36"/>
  <sheetViews>
    <sheetView zoomScaleNormal="100" workbookViewId="0">
      <selection activeCell="C2" sqref="C2:I3"/>
    </sheetView>
  </sheetViews>
  <sheetFormatPr baseColWidth="10" defaultColWidth="11.42578125" defaultRowHeight="12.75" x14ac:dyDescent="0.2"/>
  <cols>
    <col min="1" max="1" width="6.140625" style="25"/>
    <col min="2" max="2" width="39.7109375" style="25"/>
    <col min="3" max="3" width="9.85546875" style="25"/>
    <col min="4" max="4" width="10.5703125" style="25"/>
    <col min="5" max="5" width="10" style="25"/>
    <col min="6" max="6" width="8.7109375" style="25"/>
    <col min="7" max="14" width="10" style="25"/>
    <col min="15" max="15" width="11.7109375" style="25" bestFit="1" customWidth="1"/>
    <col min="16" max="1025" width="10" style="25"/>
  </cols>
  <sheetData>
    <row r="1" spans="1:1021" s="11" customFormat="1" ht="11.25" x14ac:dyDescent="0.2">
      <c r="A1" s="237" t="s">
        <v>303</v>
      </c>
      <c r="B1" s="237"/>
      <c r="C1" s="237"/>
      <c r="D1" s="237"/>
      <c r="E1" s="237"/>
      <c r="F1" s="237"/>
      <c r="G1" s="237"/>
      <c r="H1" s="237"/>
      <c r="I1" s="237"/>
    </row>
    <row r="2" spans="1:1021" s="11" customFormat="1" ht="9.9499999999999993" customHeight="1" x14ac:dyDescent="0.2">
      <c r="A2" s="263"/>
      <c r="B2" s="263"/>
      <c r="C2" s="264" t="s">
        <v>75</v>
      </c>
      <c r="D2" s="264"/>
      <c r="E2" s="264" t="s">
        <v>246</v>
      </c>
      <c r="F2" s="264" t="s">
        <v>247</v>
      </c>
      <c r="G2" s="265">
        <v>2021</v>
      </c>
      <c r="H2" s="265"/>
      <c r="I2" s="265"/>
    </row>
    <row r="3" spans="1:1021" customFormat="1" ht="33.75" x14ac:dyDescent="0.2">
      <c r="A3" s="263"/>
      <c r="B3" s="263"/>
      <c r="C3" s="193" t="s">
        <v>254</v>
      </c>
      <c r="D3" s="193" t="s">
        <v>255</v>
      </c>
      <c r="E3" s="264"/>
      <c r="F3" s="264"/>
      <c r="G3" s="194" t="s">
        <v>248</v>
      </c>
      <c r="H3" s="194" t="s">
        <v>249</v>
      </c>
      <c r="I3" s="194" t="s">
        <v>77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AMG3" s="25"/>
    </row>
    <row r="4" spans="1:1021" customFormat="1" x14ac:dyDescent="0.2">
      <c r="A4" s="133" t="s">
        <v>78</v>
      </c>
      <c r="B4" s="134" t="s">
        <v>79</v>
      </c>
      <c r="C4" s="135">
        <v>48754.639949999997</v>
      </c>
      <c r="D4" s="135">
        <v>28800.918290000001</v>
      </c>
      <c r="E4" s="135">
        <f t="shared" ref="E4:E34" si="0">D4-C4</f>
        <v>-19953.721659999996</v>
      </c>
      <c r="F4" s="65">
        <f t="shared" ref="F4:F34" si="1">E4/C4</f>
        <v>-0.40926815746077511</v>
      </c>
      <c r="G4" s="65">
        <f>E4/47234</f>
        <v>-0.42244403734597952</v>
      </c>
      <c r="H4" s="65">
        <f>D4/2071180</f>
        <v>1.3905560255506523E-2</v>
      </c>
      <c r="I4" s="136">
        <f>D4*1000/1173008</f>
        <v>24.553045068746336</v>
      </c>
      <c r="AMC4" s="25"/>
    </row>
    <row r="5" spans="1:1021" s="26" customFormat="1" ht="11.25" x14ac:dyDescent="0.2">
      <c r="A5" s="137" t="s">
        <v>80</v>
      </c>
      <c r="B5" s="138" t="s">
        <v>79</v>
      </c>
      <c r="C5" s="139">
        <v>48754.639949999997</v>
      </c>
      <c r="D5" s="139">
        <v>28800.918290000001</v>
      </c>
      <c r="E5" s="139">
        <f t="shared" si="0"/>
        <v>-19953.721659999996</v>
      </c>
      <c r="F5" s="140">
        <f t="shared" si="1"/>
        <v>-0.40926815746077511</v>
      </c>
      <c r="G5" s="64">
        <f t="shared" ref="G5:G34" si="2">E5/47234</f>
        <v>-0.42244403734597952</v>
      </c>
      <c r="H5" s="64">
        <f t="shared" ref="H5:H34" si="3">D5/2071180</f>
        <v>1.3905560255506523E-2</v>
      </c>
      <c r="I5" s="141">
        <f t="shared" ref="I5:I34" si="4">D5*1000/1173008</f>
        <v>24.553045068746336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</row>
    <row r="6" spans="1:1021" customFormat="1" x14ac:dyDescent="0.2">
      <c r="A6" s="133" t="s">
        <v>81</v>
      </c>
      <c r="B6" s="134" t="s">
        <v>82</v>
      </c>
      <c r="C6" s="135">
        <v>710141.04553999996</v>
      </c>
      <c r="D6" s="135">
        <v>723346.80507999985</v>
      </c>
      <c r="E6" s="135">
        <f t="shared" si="0"/>
        <v>13205.759539999883</v>
      </c>
      <c r="F6" s="65">
        <f t="shared" si="1"/>
        <v>1.8595967129259598E-2</v>
      </c>
      <c r="G6" s="64">
        <f t="shared" si="2"/>
        <v>0.2795816475420223</v>
      </c>
      <c r="H6" s="65">
        <f t="shared" si="3"/>
        <v>0.34924381515850861</v>
      </c>
      <c r="I6" s="136">
        <f t="shared" si="4"/>
        <v>616.65973725669369</v>
      </c>
      <c r="AMC6" s="25"/>
    </row>
    <row r="7" spans="1:1021" s="26" customFormat="1" ht="11.25" x14ac:dyDescent="0.2">
      <c r="A7" s="137" t="s">
        <v>83</v>
      </c>
      <c r="B7" s="138" t="s">
        <v>84</v>
      </c>
      <c r="C7" s="139">
        <v>247440.93746000002</v>
      </c>
      <c r="D7" s="139">
        <v>253327.64576000001</v>
      </c>
      <c r="E7" s="139">
        <f t="shared" si="0"/>
        <v>5886.7082999999984</v>
      </c>
      <c r="F7" s="140">
        <f t="shared" si="1"/>
        <v>2.3790357248188215E-2</v>
      </c>
      <c r="G7" s="64">
        <f t="shared" si="2"/>
        <v>0.12462862133209125</v>
      </c>
      <c r="H7" s="64">
        <f t="shared" si="3"/>
        <v>0.1223107821435124</v>
      </c>
      <c r="I7" s="141">
        <f t="shared" si="4"/>
        <v>215.96412450724975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</row>
    <row r="8" spans="1:1021" s="26" customFormat="1" ht="11.25" x14ac:dyDescent="0.2">
      <c r="A8" s="137" t="s">
        <v>85</v>
      </c>
      <c r="B8" s="138" t="s">
        <v>86</v>
      </c>
      <c r="C8" s="139">
        <v>125781.36104</v>
      </c>
      <c r="D8" s="139">
        <v>123129.06764000001</v>
      </c>
      <c r="E8" s="139">
        <f t="shared" si="0"/>
        <v>-2652.293399999995</v>
      </c>
      <c r="F8" s="140">
        <f t="shared" si="1"/>
        <v>-2.1086537608354654E-2</v>
      </c>
      <c r="G8" s="64">
        <f t="shared" si="2"/>
        <v>-5.6152208155142373E-2</v>
      </c>
      <c r="H8" s="64">
        <f t="shared" si="3"/>
        <v>5.9448752711014984E-2</v>
      </c>
      <c r="I8" s="141">
        <f t="shared" si="4"/>
        <v>104.96865122829513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</row>
    <row r="9" spans="1:1021" s="26" customFormat="1" ht="11.25" x14ac:dyDescent="0.2">
      <c r="A9" s="137" t="s">
        <v>87</v>
      </c>
      <c r="B9" s="138" t="s">
        <v>88</v>
      </c>
      <c r="C9" s="139">
        <v>254244.16926999998</v>
      </c>
      <c r="D9" s="139">
        <v>255844.42311999996</v>
      </c>
      <c r="E9" s="139">
        <f t="shared" si="0"/>
        <v>1600.2538499999791</v>
      </c>
      <c r="F9" s="140">
        <f t="shared" si="1"/>
        <v>6.2941614535142222E-3</v>
      </c>
      <c r="G9" s="64">
        <f t="shared" si="2"/>
        <v>3.3879278697547935E-2</v>
      </c>
      <c r="H9" s="64">
        <f t="shared" si="3"/>
        <v>0.123525923927423</v>
      </c>
      <c r="I9" s="141">
        <f t="shared" si="4"/>
        <v>218.10970012139728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</row>
    <row r="10" spans="1:1021" s="26" customFormat="1" ht="11.25" x14ac:dyDescent="0.2">
      <c r="A10" s="137" t="s">
        <v>89</v>
      </c>
      <c r="B10" s="138" t="s">
        <v>90</v>
      </c>
      <c r="C10" s="139">
        <v>82674.577719999987</v>
      </c>
      <c r="D10" s="139">
        <v>91045.668550000002</v>
      </c>
      <c r="E10" s="139">
        <f t="shared" si="0"/>
        <v>8371.0908300000156</v>
      </c>
      <c r="F10" s="140">
        <f t="shared" si="1"/>
        <v>0.10125350574333743</v>
      </c>
      <c r="G10" s="64">
        <f t="shared" si="2"/>
        <v>0.17722595651437556</v>
      </c>
      <c r="H10" s="64">
        <f t="shared" si="3"/>
        <v>4.3958356371730123E-2</v>
      </c>
      <c r="I10" s="141">
        <f t="shared" si="4"/>
        <v>77.617261391226663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</row>
    <row r="11" spans="1:1021" customFormat="1" x14ac:dyDescent="0.2">
      <c r="A11" s="133" t="s">
        <v>91</v>
      </c>
      <c r="B11" s="134" t="s">
        <v>92</v>
      </c>
      <c r="C11" s="135">
        <v>378473.89315999998</v>
      </c>
      <c r="D11" s="135">
        <v>424063.31972000003</v>
      </c>
      <c r="E11" s="135">
        <f t="shared" si="0"/>
        <v>45589.426560000051</v>
      </c>
      <c r="F11" s="65">
        <f t="shared" si="1"/>
        <v>0.1204559346996415</v>
      </c>
      <c r="G11" s="65">
        <f t="shared" si="2"/>
        <v>0.96518242283101263</v>
      </c>
      <c r="H11" s="65">
        <f t="shared" si="3"/>
        <v>0.20474479268822604</v>
      </c>
      <c r="I11" s="136">
        <f t="shared" si="4"/>
        <v>361.51784107184267</v>
      </c>
      <c r="AMC11" s="25"/>
    </row>
    <row r="12" spans="1:1021" s="26" customFormat="1" ht="11.25" x14ac:dyDescent="0.2">
      <c r="A12" s="137" t="s">
        <v>93</v>
      </c>
      <c r="B12" s="138" t="s">
        <v>94</v>
      </c>
      <c r="C12" s="139">
        <v>3127.83257</v>
      </c>
      <c r="D12" s="139">
        <v>3398.1766400000001</v>
      </c>
      <c r="E12" s="139">
        <f t="shared" si="0"/>
        <v>270.3440700000001</v>
      </c>
      <c r="F12" s="140">
        <f t="shared" si="1"/>
        <v>8.6431758717826795E-2</v>
      </c>
      <c r="G12" s="64">
        <f t="shared" si="2"/>
        <v>5.7235057373925587E-3</v>
      </c>
      <c r="H12" s="64">
        <f t="shared" si="3"/>
        <v>1.6406959511003391E-3</v>
      </c>
      <c r="I12" s="141">
        <f t="shared" si="4"/>
        <v>2.8969765253092903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</row>
    <row r="13" spans="1:1021" s="26" customFormat="1" ht="11.25" x14ac:dyDescent="0.2">
      <c r="A13" s="137" t="s">
        <v>95</v>
      </c>
      <c r="B13" s="138" t="s">
        <v>96</v>
      </c>
      <c r="C13" s="139">
        <v>3334.5282399999996</v>
      </c>
      <c r="D13" s="139">
        <v>3102.9680400000002</v>
      </c>
      <c r="E13" s="139">
        <f t="shared" si="0"/>
        <v>-231.56019999999944</v>
      </c>
      <c r="F13" s="140">
        <f t="shared" si="1"/>
        <v>-6.9443166569193443E-2</v>
      </c>
      <c r="G13" s="64">
        <f t="shared" si="2"/>
        <v>-4.9024050472117426E-3</v>
      </c>
      <c r="H13" s="64">
        <f t="shared" si="3"/>
        <v>1.4981643507565737E-3</v>
      </c>
      <c r="I13" s="141">
        <f t="shared" si="4"/>
        <v>2.6453085059948442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</row>
    <row r="14" spans="1:1021" s="26" customFormat="1" ht="11.25" x14ac:dyDescent="0.2">
      <c r="A14" s="137" t="s">
        <v>97</v>
      </c>
      <c r="B14" s="138" t="s">
        <v>221</v>
      </c>
      <c r="C14" s="139">
        <v>353910.97887999989</v>
      </c>
      <c r="D14" s="139">
        <v>390229.37907999998</v>
      </c>
      <c r="E14" s="139">
        <f t="shared" si="0"/>
        <v>36318.400200000091</v>
      </c>
      <c r="F14" s="140">
        <f t="shared" si="1"/>
        <v>0.10262015695284356</v>
      </c>
      <c r="G14" s="64">
        <f t="shared" si="2"/>
        <v>0.76890376000338934</v>
      </c>
      <c r="H14" s="64">
        <f t="shared" si="3"/>
        <v>0.18840920590194959</v>
      </c>
      <c r="I14" s="141">
        <f t="shared" si="4"/>
        <v>332.67409862507333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</row>
    <row r="15" spans="1:1021" s="26" customFormat="1" ht="11.25" x14ac:dyDescent="0.2">
      <c r="A15" s="137" t="s">
        <v>98</v>
      </c>
      <c r="B15" s="138" t="s">
        <v>99</v>
      </c>
      <c r="C15" s="139">
        <v>18100.553459999999</v>
      </c>
      <c r="D15" s="139">
        <v>27332.795969999999</v>
      </c>
      <c r="E15" s="139">
        <f t="shared" si="0"/>
        <v>9232.24251</v>
      </c>
      <c r="F15" s="140">
        <f t="shared" si="1"/>
        <v>0.51005305060986794</v>
      </c>
      <c r="G15" s="64">
        <f t="shared" si="2"/>
        <v>0.19545756256086716</v>
      </c>
      <c r="H15" s="64">
        <f t="shared" si="3"/>
        <v>1.3196726489247674E-2</v>
      </c>
      <c r="I15" s="141">
        <f t="shared" si="4"/>
        <v>23.301457423990286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</row>
    <row r="16" spans="1:1021" customFormat="1" x14ac:dyDescent="0.2">
      <c r="A16" s="133" t="s">
        <v>100</v>
      </c>
      <c r="B16" s="134" t="s">
        <v>101</v>
      </c>
      <c r="C16" s="135">
        <v>301308.82785</v>
      </c>
      <c r="D16" s="135">
        <v>307420.03670000006</v>
      </c>
      <c r="E16" s="135">
        <f t="shared" si="0"/>
        <v>6111.2088500000536</v>
      </c>
      <c r="F16" s="65">
        <f t="shared" si="1"/>
        <v>2.0282209763340837E-2</v>
      </c>
      <c r="G16" s="65">
        <f t="shared" si="2"/>
        <v>0.12938156518609589</v>
      </c>
      <c r="H16" s="65">
        <f t="shared" si="3"/>
        <v>0.14842748418775772</v>
      </c>
      <c r="I16" s="136">
        <f t="shared" si="4"/>
        <v>262.07838028385146</v>
      </c>
      <c r="AMC16" s="25"/>
    </row>
    <row r="17" spans="1:1017" s="26" customFormat="1" ht="11.25" x14ac:dyDescent="0.2">
      <c r="A17" s="137" t="s">
        <v>102</v>
      </c>
      <c r="B17" s="138" t="s">
        <v>103</v>
      </c>
      <c r="C17" s="139">
        <v>17277.68664</v>
      </c>
      <c r="D17" s="139">
        <v>17298.08325</v>
      </c>
      <c r="E17" s="139">
        <f t="shared" si="0"/>
        <v>20.396609999999782</v>
      </c>
      <c r="F17" s="140">
        <f t="shared" si="1"/>
        <v>1.1805174167691574E-3</v>
      </c>
      <c r="G17" s="64">
        <f t="shared" si="2"/>
        <v>4.3182051064910408E-4</v>
      </c>
      <c r="H17" s="64">
        <f t="shared" si="3"/>
        <v>8.3518010264680038E-3</v>
      </c>
      <c r="I17" s="141">
        <f t="shared" si="4"/>
        <v>14.746773466165619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</row>
    <row r="18" spans="1:1017" s="26" customFormat="1" ht="11.25" x14ac:dyDescent="0.2">
      <c r="A18" s="137" t="s">
        <v>104</v>
      </c>
      <c r="B18" s="138" t="s">
        <v>105</v>
      </c>
      <c r="C18" s="139">
        <v>82435.993640000001</v>
      </c>
      <c r="D18" s="139">
        <v>79133.070260000008</v>
      </c>
      <c r="E18" s="139">
        <f t="shared" si="0"/>
        <v>-3302.9233799999929</v>
      </c>
      <c r="F18" s="140">
        <f t="shared" si="1"/>
        <v>-4.0066519904205192E-2</v>
      </c>
      <c r="G18" s="64">
        <f t="shared" si="2"/>
        <v>-6.9926819240377538E-2</v>
      </c>
      <c r="H18" s="64">
        <f t="shared" si="3"/>
        <v>3.8206756660454429E-2</v>
      </c>
      <c r="I18" s="141">
        <f t="shared" si="4"/>
        <v>67.461662887209641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</row>
    <row r="19" spans="1:1017" s="26" customFormat="1" ht="11.25" x14ac:dyDescent="0.2">
      <c r="A19" s="137" t="s">
        <v>106</v>
      </c>
      <c r="B19" s="138" t="s">
        <v>107</v>
      </c>
      <c r="C19" s="139">
        <v>124030.31481000001</v>
      </c>
      <c r="D19" s="139">
        <v>126273.59417000003</v>
      </c>
      <c r="E19" s="139">
        <f t="shared" si="0"/>
        <v>2243.279360000015</v>
      </c>
      <c r="F19" s="140">
        <f t="shared" si="1"/>
        <v>1.8086540886689335E-2</v>
      </c>
      <c r="G19" s="64">
        <f t="shared" si="2"/>
        <v>4.7492894101706713E-2</v>
      </c>
      <c r="H19" s="64">
        <f t="shared" si="3"/>
        <v>6.0966982188897165E-2</v>
      </c>
      <c r="I19" s="141">
        <f t="shared" si="4"/>
        <v>107.64938872539662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</row>
    <row r="20" spans="1:1017" s="26" customFormat="1" ht="11.25" x14ac:dyDescent="0.2">
      <c r="A20" s="137" t="s">
        <v>108</v>
      </c>
      <c r="B20" s="138" t="s">
        <v>109</v>
      </c>
      <c r="C20" s="139">
        <v>77564.83272999998</v>
      </c>
      <c r="D20" s="139">
        <v>84715.289009999993</v>
      </c>
      <c r="E20" s="139">
        <f t="shared" si="0"/>
        <v>7150.4562800000131</v>
      </c>
      <c r="F20" s="140">
        <f t="shared" si="1"/>
        <v>9.2186832979972502E-2</v>
      </c>
      <c r="G20" s="64">
        <f t="shared" si="2"/>
        <v>0.15138367023754104</v>
      </c>
      <c r="H20" s="64">
        <f t="shared" si="3"/>
        <v>4.0901944307109951E-2</v>
      </c>
      <c r="I20" s="141">
        <f t="shared" si="4"/>
        <v>72.220555196554486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</row>
    <row r="21" spans="1:1017" customFormat="1" x14ac:dyDescent="0.2">
      <c r="A21" s="133" t="s">
        <v>110</v>
      </c>
      <c r="B21" s="134" t="s">
        <v>111</v>
      </c>
      <c r="C21" s="135">
        <v>258886.23843999999</v>
      </c>
      <c r="D21" s="135">
        <v>262167.32010000001</v>
      </c>
      <c r="E21" s="135">
        <f t="shared" si="0"/>
        <v>3281.0816600000253</v>
      </c>
      <c r="F21" s="65">
        <f t="shared" si="1"/>
        <v>1.2673835734843262E-2</v>
      </c>
      <c r="G21" s="65">
        <f t="shared" si="2"/>
        <v>6.9464404030995158E-2</v>
      </c>
      <c r="H21" s="65">
        <f t="shared" si="3"/>
        <v>0.12657872328817391</v>
      </c>
      <c r="I21" s="136">
        <f t="shared" si="4"/>
        <v>223.50002736554228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AMC21" s="25"/>
    </row>
    <row r="22" spans="1:1017" customFormat="1" x14ac:dyDescent="0.2">
      <c r="A22" s="137" t="s">
        <v>112</v>
      </c>
      <c r="B22" s="138" t="s">
        <v>113</v>
      </c>
      <c r="C22" s="139">
        <v>9559.363949999999</v>
      </c>
      <c r="D22" s="139">
        <v>10239.768979999999</v>
      </c>
      <c r="E22" s="139">
        <f t="shared" si="0"/>
        <v>680.4050299999999</v>
      </c>
      <c r="F22" s="140">
        <f t="shared" si="1"/>
        <v>7.1176809833670987E-2</v>
      </c>
      <c r="G22" s="64">
        <f t="shared" si="2"/>
        <v>1.4404984333319217E-2</v>
      </c>
      <c r="H22" s="64">
        <f t="shared" si="3"/>
        <v>4.9439300205679848E-3</v>
      </c>
      <c r="I22" s="141">
        <f t="shared" si="4"/>
        <v>8.7294962864703383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AMC22" s="25"/>
    </row>
    <row r="23" spans="1:1017" customFormat="1" x14ac:dyDescent="0.2">
      <c r="A23" s="137" t="s">
        <v>114</v>
      </c>
      <c r="B23" s="138" t="s">
        <v>115</v>
      </c>
      <c r="C23" s="139">
        <v>16066.111490000001</v>
      </c>
      <c r="D23" s="139">
        <v>20522.43922</v>
      </c>
      <c r="E23" s="139">
        <f t="shared" si="0"/>
        <v>4456.3277299999991</v>
      </c>
      <c r="F23" s="140">
        <f t="shared" si="1"/>
        <v>0.27737438102391748</v>
      </c>
      <c r="G23" s="64">
        <f t="shared" si="2"/>
        <v>9.4345762162848776E-2</v>
      </c>
      <c r="H23" s="64">
        <f t="shared" si="3"/>
        <v>9.9085734798520647E-3</v>
      </c>
      <c r="I23" s="141">
        <f t="shared" si="4"/>
        <v>17.495566287697951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AMC23" s="25"/>
    </row>
    <row r="24" spans="1:1017" customFormat="1" x14ac:dyDescent="0.2">
      <c r="A24" s="137" t="s">
        <v>116</v>
      </c>
      <c r="B24" s="138" t="s">
        <v>117</v>
      </c>
      <c r="C24" s="139">
        <v>49569.180240000002</v>
      </c>
      <c r="D24" s="139">
        <v>58598.74270000001</v>
      </c>
      <c r="E24" s="139">
        <f t="shared" si="0"/>
        <v>9029.5624600000083</v>
      </c>
      <c r="F24" s="140">
        <f t="shared" si="1"/>
        <v>0.18216081880477772</v>
      </c>
      <c r="G24" s="64">
        <f t="shared" si="2"/>
        <v>0.19116658466358996</v>
      </c>
      <c r="H24" s="64">
        <f t="shared" si="3"/>
        <v>2.8292443293195187E-2</v>
      </c>
      <c r="I24" s="141">
        <f t="shared" si="4"/>
        <v>49.955961681420767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AMC24" s="25"/>
    </row>
    <row r="25" spans="1:1017" customFormat="1" x14ac:dyDescent="0.2">
      <c r="A25" s="137" t="s">
        <v>118</v>
      </c>
      <c r="B25" s="138" t="s">
        <v>119</v>
      </c>
      <c r="C25" s="139">
        <v>34549.942420000007</v>
      </c>
      <c r="D25" s="139">
        <v>34931.506719999998</v>
      </c>
      <c r="E25" s="139">
        <f t="shared" si="0"/>
        <v>381.56429999999091</v>
      </c>
      <c r="F25" s="140">
        <f t="shared" si="1"/>
        <v>1.1043847638342629E-2</v>
      </c>
      <c r="G25" s="64">
        <f t="shared" si="2"/>
        <v>8.0781703857388931E-3</v>
      </c>
      <c r="H25" s="64">
        <f t="shared" si="3"/>
        <v>1.6865509863942293E-2</v>
      </c>
      <c r="I25" s="141">
        <f t="shared" si="4"/>
        <v>29.779427523085946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AMC25" s="25"/>
    </row>
    <row r="26" spans="1:1017" customFormat="1" x14ac:dyDescent="0.2">
      <c r="A26" s="137" t="s">
        <v>120</v>
      </c>
      <c r="B26" s="138" t="s">
        <v>121</v>
      </c>
      <c r="C26" s="139">
        <v>140318.61598</v>
      </c>
      <c r="D26" s="139">
        <v>129745.81527000001</v>
      </c>
      <c r="E26" s="139">
        <f t="shared" si="0"/>
        <v>-10572.800709999996</v>
      </c>
      <c r="F26" s="140">
        <f t="shared" si="1"/>
        <v>-7.5348524756736243E-2</v>
      </c>
      <c r="G26" s="64">
        <f t="shared" si="2"/>
        <v>-0.22383877524664428</v>
      </c>
      <c r="H26" s="64">
        <f t="shared" si="3"/>
        <v>6.2643428031363774E-2</v>
      </c>
      <c r="I26" s="141">
        <f t="shared" si="4"/>
        <v>110.60948882701568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AMC26" s="25"/>
    </row>
    <row r="27" spans="1:1017" customFormat="1" x14ac:dyDescent="0.2">
      <c r="A27" s="137" t="s">
        <v>122</v>
      </c>
      <c r="B27" s="138" t="s">
        <v>123</v>
      </c>
      <c r="C27" s="139">
        <v>1918.5050200000001</v>
      </c>
      <c r="D27" s="139">
        <v>2090.7958199999998</v>
      </c>
      <c r="E27" s="139">
        <f t="shared" si="0"/>
        <v>172.29079999999976</v>
      </c>
      <c r="F27" s="140">
        <f t="shared" si="1"/>
        <v>8.980471679975055E-2</v>
      </c>
      <c r="G27" s="64">
        <f t="shared" si="2"/>
        <v>3.6476013041453139E-3</v>
      </c>
      <c r="H27" s="64">
        <f t="shared" si="3"/>
        <v>1.0094708427080214E-3</v>
      </c>
      <c r="I27" s="141">
        <f t="shared" si="4"/>
        <v>1.7824224728220095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AMC27" s="25"/>
    </row>
    <row r="28" spans="1:1017" customFormat="1" x14ac:dyDescent="0.2">
      <c r="A28" s="137" t="s">
        <v>124</v>
      </c>
      <c r="B28" s="138" t="s">
        <v>125</v>
      </c>
      <c r="C28" s="139">
        <v>6904.5193500000005</v>
      </c>
      <c r="D28" s="139">
        <v>6038.2513600000002</v>
      </c>
      <c r="E28" s="139">
        <f t="shared" si="0"/>
        <v>-866.26799000000028</v>
      </c>
      <c r="F28" s="140">
        <f t="shared" si="1"/>
        <v>-0.12546390937408267</v>
      </c>
      <c r="G28" s="64">
        <f t="shared" si="2"/>
        <v>-1.8339924418850833E-2</v>
      </c>
      <c r="H28" s="64">
        <f t="shared" si="3"/>
        <v>2.9153677420600817E-3</v>
      </c>
      <c r="I28" s="141">
        <f t="shared" si="4"/>
        <v>5.1476642614543122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AMC28" s="25"/>
    </row>
    <row r="29" spans="1:1017" customFormat="1" x14ac:dyDescent="0.2">
      <c r="A29" s="133" t="s">
        <v>126</v>
      </c>
      <c r="B29" s="134" t="s">
        <v>127</v>
      </c>
      <c r="C29" s="135">
        <v>326381.35250000004</v>
      </c>
      <c r="D29" s="135">
        <v>325381.41657999996</v>
      </c>
      <c r="E29" s="135">
        <f t="shared" si="0"/>
        <v>-999.93592000007629</v>
      </c>
      <c r="F29" s="65">
        <f t="shared" si="1"/>
        <v>-3.0637041986033078E-3</v>
      </c>
      <c r="G29" s="65">
        <f t="shared" si="2"/>
        <v>-2.1169833594446293E-2</v>
      </c>
      <c r="H29" s="65">
        <f t="shared" si="3"/>
        <v>0.15709953581050415</v>
      </c>
      <c r="I29" s="136">
        <f t="shared" si="4"/>
        <v>277.39062016627338</v>
      </c>
      <c r="AMC29" s="25"/>
    </row>
    <row r="30" spans="1:1017" s="26" customFormat="1" ht="11.25" x14ac:dyDescent="0.2">
      <c r="A30" s="137" t="s">
        <v>128</v>
      </c>
      <c r="B30" s="138" t="s">
        <v>129</v>
      </c>
      <c r="C30" s="139">
        <v>48204.955889999997</v>
      </c>
      <c r="D30" s="139">
        <v>49139.870869999999</v>
      </c>
      <c r="E30" s="139">
        <f t="shared" si="0"/>
        <v>934.91498000000138</v>
      </c>
      <c r="F30" s="140">
        <f t="shared" si="1"/>
        <v>1.9394582211285608E-2</v>
      </c>
      <c r="G30" s="64">
        <f t="shared" si="2"/>
        <v>1.9793262903840484E-2</v>
      </c>
      <c r="H30" s="64">
        <f t="shared" si="3"/>
        <v>2.3725543347270638E-2</v>
      </c>
      <c r="I30" s="141">
        <f t="shared" si="4"/>
        <v>41.892187325235632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</row>
    <row r="31" spans="1:1017" s="26" customFormat="1" ht="11.25" x14ac:dyDescent="0.2">
      <c r="A31" s="137" t="s">
        <v>130</v>
      </c>
      <c r="B31" s="138" t="s">
        <v>131</v>
      </c>
      <c r="C31" s="139">
        <v>203623.56630000001</v>
      </c>
      <c r="D31" s="139">
        <v>202159.23054000002</v>
      </c>
      <c r="E31" s="139">
        <f t="shared" si="0"/>
        <v>-1464.3357599999872</v>
      </c>
      <c r="F31" s="140">
        <f t="shared" si="1"/>
        <v>-7.1913864716551092E-3</v>
      </c>
      <c r="G31" s="64">
        <f t="shared" si="2"/>
        <v>-3.1001730956514106E-2</v>
      </c>
      <c r="H31" s="64">
        <f t="shared" si="3"/>
        <v>9.760582399405171E-2</v>
      </c>
      <c r="I31" s="141">
        <f t="shared" si="4"/>
        <v>172.34258465415414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</row>
    <row r="32" spans="1:1017" s="26" customFormat="1" ht="11.25" x14ac:dyDescent="0.2">
      <c r="A32" s="137" t="s">
        <v>132</v>
      </c>
      <c r="B32" s="138" t="s">
        <v>133</v>
      </c>
      <c r="C32" s="139">
        <v>71162.845359999992</v>
      </c>
      <c r="D32" s="139">
        <v>70856.668040000004</v>
      </c>
      <c r="E32" s="139">
        <f t="shared" si="0"/>
        <v>-306.17731999998796</v>
      </c>
      <c r="F32" s="140">
        <f t="shared" si="1"/>
        <v>-4.3024884467602739E-3</v>
      </c>
      <c r="G32" s="64">
        <f t="shared" si="2"/>
        <v>-6.4821382902144212E-3</v>
      </c>
      <c r="H32" s="64">
        <f t="shared" si="3"/>
        <v>3.4210772622369857E-2</v>
      </c>
      <c r="I32" s="141">
        <f t="shared" si="4"/>
        <v>60.405954639695558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</row>
    <row r="33" spans="1:1025" s="26" customFormat="1" ht="11.25" x14ac:dyDescent="0.2">
      <c r="A33" s="137" t="s">
        <v>134</v>
      </c>
      <c r="B33" s="138" t="s">
        <v>135</v>
      </c>
      <c r="C33" s="139">
        <v>3389.9849899999995</v>
      </c>
      <c r="D33" s="139">
        <v>3225.6471299999994</v>
      </c>
      <c r="E33" s="139">
        <f t="shared" si="0"/>
        <v>-164.33786000000009</v>
      </c>
      <c r="F33" s="140">
        <f t="shared" si="1"/>
        <v>-4.8477459482792612E-2</v>
      </c>
      <c r="G33" s="64">
        <f t="shared" si="2"/>
        <v>-3.4792280984036941E-3</v>
      </c>
      <c r="H33" s="64">
        <f t="shared" si="3"/>
        <v>1.557395846811962E-3</v>
      </c>
      <c r="I33" s="141">
        <f t="shared" si="4"/>
        <v>2.7498935471880834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</row>
    <row r="34" spans="1:1025" x14ac:dyDescent="0.2">
      <c r="A34" s="261" t="s">
        <v>48</v>
      </c>
      <c r="B34" s="261"/>
      <c r="C34" s="142">
        <v>2023945.9974399996</v>
      </c>
      <c r="D34" s="142">
        <v>2071179.8164699997</v>
      </c>
      <c r="E34" s="96">
        <f t="shared" si="0"/>
        <v>47233.81903000013</v>
      </c>
      <c r="F34" s="103">
        <f t="shared" si="1"/>
        <v>2.3337489779739238E-2</v>
      </c>
      <c r="G34" s="103">
        <f t="shared" si="2"/>
        <v>0.9999961686497042</v>
      </c>
      <c r="H34" s="143">
        <f t="shared" si="3"/>
        <v>0.99999991138867683</v>
      </c>
      <c r="I34" s="144">
        <f t="shared" si="4"/>
        <v>1765.6996512129497</v>
      </c>
      <c r="AMD34"/>
      <c r="AME34"/>
      <c r="AMF34"/>
      <c r="AMG34"/>
      <c r="AMH34"/>
      <c r="AMI34"/>
      <c r="AMJ34"/>
      <c r="AMK34"/>
    </row>
    <row r="35" spans="1:1025" x14ac:dyDescent="0.2">
      <c r="A35" s="228" t="s">
        <v>383</v>
      </c>
      <c r="B35" s="228"/>
      <c r="C35" s="228"/>
      <c r="D35" s="228"/>
      <c r="E35" s="228"/>
      <c r="F35" s="228"/>
      <c r="G35" s="228"/>
      <c r="H35" s="228"/>
      <c r="I35" s="228"/>
      <c r="AMD35"/>
      <c r="AME35"/>
      <c r="AMF35"/>
      <c r="AMG35"/>
      <c r="AMH35"/>
      <c r="AMI35"/>
      <c r="AMJ35"/>
      <c r="AMK35"/>
    </row>
    <row r="36" spans="1:1025" x14ac:dyDescent="0.2">
      <c r="A36" s="262" t="s">
        <v>231</v>
      </c>
      <c r="B36" s="262"/>
      <c r="C36" s="262"/>
      <c r="D36" s="262"/>
      <c r="E36" s="262"/>
      <c r="F36" s="262"/>
      <c r="G36" s="262"/>
      <c r="H36" s="262"/>
      <c r="I36" s="262"/>
      <c r="AMD36"/>
      <c r="AME36"/>
      <c r="AMF36"/>
      <c r="AMG36"/>
      <c r="AMH36"/>
      <c r="AMI36"/>
      <c r="AMJ36"/>
      <c r="AMK36"/>
    </row>
  </sheetData>
  <mergeCells count="9">
    <mergeCell ref="A34:B34"/>
    <mergeCell ref="A35:I35"/>
    <mergeCell ref="A36:I36"/>
    <mergeCell ref="A1:I1"/>
    <mergeCell ref="A2:B3"/>
    <mergeCell ref="C2:D2"/>
    <mergeCell ref="E2:E3"/>
    <mergeCell ref="F2:F3"/>
    <mergeCell ref="G2:I2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AMM20"/>
  <sheetViews>
    <sheetView zoomScaleNormal="100" workbookViewId="0">
      <selection activeCell="B2" sqref="B2:G3"/>
    </sheetView>
  </sheetViews>
  <sheetFormatPr baseColWidth="10" defaultColWidth="9.140625" defaultRowHeight="12.75" x14ac:dyDescent="0.2"/>
  <cols>
    <col min="1" max="1" width="33.7109375" style="1" customWidth="1"/>
    <col min="2" max="3" width="10.140625" style="1"/>
    <col min="4" max="4" width="9.140625" style="1"/>
    <col min="5" max="5" width="12.140625" style="1" customWidth="1"/>
    <col min="6" max="6" width="11.28515625" style="1" customWidth="1"/>
    <col min="7" max="7" width="12.28515625" style="1" customWidth="1"/>
    <col min="8" max="1027" width="11" style="1"/>
  </cols>
  <sheetData>
    <row r="1" spans="1:1027" ht="13.5" customHeight="1" x14ac:dyDescent="0.2">
      <c r="A1" s="252" t="s">
        <v>314</v>
      </c>
      <c r="B1" s="252"/>
      <c r="C1" s="252"/>
      <c r="D1" s="253"/>
      <c r="E1" s="252"/>
      <c r="F1" s="253"/>
      <c r="G1" s="252"/>
      <c r="H1"/>
      <c r="I1"/>
    </row>
    <row r="2" spans="1:1027" x14ac:dyDescent="0.2">
      <c r="A2" s="238"/>
      <c r="B2" s="266" t="s">
        <v>136</v>
      </c>
      <c r="C2" s="267"/>
      <c r="D2" s="267"/>
      <c r="E2" s="267"/>
      <c r="F2" s="268"/>
      <c r="G2" s="188" t="s">
        <v>137</v>
      </c>
      <c r="H2"/>
      <c r="I2"/>
    </row>
    <row r="3" spans="1:1027" x14ac:dyDescent="0.2">
      <c r="A3" s="238"/>
      <c r="B3" s="195">
        <v>2019</v>
      </c>
      <c r="C3" s="188">
        <v>2020</v>
      </c>
      <c r="D3" s="190">
        <v>2021</v>
      </c>
      <c r="E3" s="195" t="s">
        <v>362</v>
      </c>
      <c r="F3" s="190" t="s">
        <v>251</v>
      </c>
      <c r="G3" s="190" t="s">
        <v>251</v>
      </c>
      <c r="H3"/>
      <c r="I3"/>
    </row>
    <row r="4" spans="1:1027" x14ac:dyDescent="0.2">
      <c r="A4" s="48" t="s">
        <v>356</v>
      </c>
      <c r="B4" s="52">
        <v>3118431</v>
      </c>
      <c r="C4" s="148">
        <v>2473469</v>
      </c>
      <c r="D4" s="149">
        <v>2697557</v>
      </c>
      <c r="E4" s="50">
        <f>(D4-B4)/B4</f>
        <v>-0.13496338382988113</v>
      </c>
      <c r="F4" s="120">
        <v>9.0999999999999998E-2</v>
      </c>
      <c r="G4" s="116">
        <v>0.16500000000000001</v>
      </c>
      <c r="H4"/>
      <c r="I4"/>
      <c r="AMJ4"/>
      <c r="AMK4"/>
      <c r="AML4"/>
      <c r="AMM4"/>
    </row>
    <row r="5" spans="1:1027" x14ac:dyDescent="0.2">
      <c r="A5" s="145" t="s">
        <v>138</v>
      </c>
      <c r="B5" s="52">
        <v>2187541</v>
      </c>
      <c r="C5" s="148">
        <v>1889053</v>
      </c>
      <c r="D5" s="149">
        <v>1947184</v>
      </c>
      <c r="E5" s="50">
        <f t="shared" ref="E5:E15" si="0">(D5-B5)/B5</f>
        <v>-0.10987542633486641</v>
      </c>
      <c r="F5" s="120">
        <v>3.1E-2</v>
      </c>
      <c r="G5" s="116">
        <v>7.4999999999999997E-2</v>
      </c>
      <c r="H5"/>
      <c r="I5"/>
      <c r="AMJ5"/>
      <c r="AMK5"/>
      <c r="AML5"/>
      <c r="AMM5"/>
    </row>
    <row r="6" spans="1:1027" x14ac:dyDescent="0.2">
      <c r="A6" s="145" t="s">
        <v>139</v>
      </c>
      <c r="B6" s="52">
        <v>773065</v>
      </c>
      <c r="C6" s="148">
        <v>415605</v>
      </c>
      <c r="D6" s="149">
        <v>510588</v>
      </c>
      <c r="E6" s="50">
        <f t="shared" si="0"/>
        <v>-0.33952772405942577</v>
      </c>
      <c r="F6" s="120">
        <v>0.22900000000000001</v>
      </c>
      <c r="G6" s="116">
        <v>0.67900000000000005</v>
      </c>
      <c r="H6"/>
      <c r="I6"/>
      <c r="AMJ6"/>
      <c r="AMK6"/>
      <c r="AML6"/>
      <c r="AMM6"/>
    </row>
    <row r="7" spans="1:1027" x14ac:dyDescent="0.2">
      <c r="A7" s="145" t="s">
        <v>140</v>
      </c>
      <c r="B7" s="52">
        <v>124127</v>
      </c>
      <c r="C7" s="148">
        <v>92680</v>
      </c>
      <c r="D7" s="149">
        <v>165093</v>
      </c>
      <c r="E7" s="50">
        <f t="shared" si="0"/>
        <v>0.33003295012366368</v>
      </c>
      <c r="F7" s="120">
        <v>0.78100000000000003</v>
      </c>
      <c r="G7" s="116">
        <v>0.20899999999999999</v>
      </c>
      <c r="H7"/>
      <c r="I7"/>
      <c r="AMJ7"/>
      <c r="AMK7"/>
      <c r="AML7"/>
      <c r="AMM7"/>
    </row>
    <row r="8" spans="1:1027" x14ac:dyDescent="0.2">
      <c r="A8" s="145" t="s">
        <v>357</v>
      </c>
      <c r="B8" s="52">
        <v>33698</v>
      </c>
      <c r="C8" s="148">
        <f>C4-C5-C6-C7</f>
        <v>76131</v>
      </c>
      <c r="D8" s="149">
        <f>D4-D5-D6-D7</f>
        <v>74692</v>
      </c>
      <c r="E8" s="50">
        <f t="shared" si="0"/>
        <v>1.2165113656596831</v>
      </c>
      <c r="F8" s="120">
        <f>(D8-C8)/C8</f>
        <v>-1.8901630084985091E-2</v>
      </c>
      <c r="G8" s="116">
        <v>1.2999999999999999E-2</v>
      </c>
      <c r="I8" s="36"/>
      <c r="AMJ8"/>
      <c r="AMK8"/>
      <c r="AML8"/>
      <c r="AMM8"/>
    </row>
    <row r="9" spans="1:1027" x14ac:dyDescent="0.2">
      <c r="A9" s="48" t="s">
        <v>358</v>
      </c>
      <c r="B9" s="52">
        <v>1525216</v>
      </c>
      <c r="C9" s="148">
        <v>977160</v>
      </c>
      <c r="D9" s="149">
        <v>1166615</v>
      </c>
      <c r="E9" s="50">
        <f t="shared" si="0"/>
        <v>-0.23511489520172879</v>
      </c>
      <c r="F9" s="120">
        <v>0.19400000000000001</v>
      </c>
      <c r="G9" s="116">
        <v>0.13300000000000001</v>
      </c>
      <c r="H9"/>
      <c r="I9"/>
      <c r="AMJ9"/>
      <c r="AMK9"/>
      <c r="AML9"/>
      <c r="AMM9"/>
    </row>
    <row r="10" spans="1:1027" x14ac:dyDescent="0.2">
      <c r="A10" s="145" t="s">
        <v>141</v>
      </c>
      <c r="B10" s="52">
        <v>1422796</v>
      </c>
      <c r="C10" s="148">
        <v>876731</v>
      </c>
      <c r="D10" s="149">
        <v>1034801</v>
      </c>
      <c r="E10" s="50">
        <f t="shared" si="0"/>
        <v>-0.27269896738534549</v>
      </c>
      <c r="F10" s="120">
        <v>0.18</v>
      </c>
      <c r="G10" s="116">
        <v>0.14499999999999999</v>
      </c>
      <c r="H10"/>
      <c r="I10"/>
      <c r="AMJ10"/>
      <c r="AMK10"/>
      <c r="AML10"/>
      <c r="AMM10"/>
    </row>
    <row r="11" spans="1:1027" x14ac:dyDescent="0.2">
      <c r="A11" s="145" t="s">
        <v>142</v>
      </c>
      <c r="B11" s="52">
        <v>15438</v>
      </c>
      <c r="C11" s="148">
        <v>4558</v>
      </c>
      <c r="D11" s="149">
        <v>8796</v>
      </c>
      <c r="E11" s="50">
        <f t="shared" si="0"/>
        <v>-0.43023707734162459</v>
      </c>
      <c r="F11" s="120">
        <v>0.93</v>
      </c>
      <c r="G11" s="116">
        <v>0.05</v>
      </c>
      <c r="H11"/>
      <c r="I11"/>
      <c r="AMJ11"/>
      <c r="AMK11"/>
      <c r="AML11"/>
      <c r="AMM11"/>
    </row>
    <row r="12" spans="1:1027" x14ac:dyDescent="0.2">
      <c r="A12" s="145" t="s">
        <v>143</v>
      </c>
      <c r="B12" s="52">
        <v>84008</v>
      </c>
      <c r="C12" s="148">
        <v>94085</v>
      </c>
      <c r="D12" s="149">
        <v>119776</v>
      </c>
      <c r="E12" s="50">
        <f t="shared" si="0"/>
        <v>0.42576897438339206</v>
      </c>
      <c r="F12" s="120">
        <v>0.27300000000000002</v>
      </c>
      <c r="G12" s="116">
        <v>0.33</v>
      </c>
      <c r="H12"/>
      <c r="I12"/>
      <c r="AMJ12"/>
      <c r="AMK12"/>
      <c r="AML12"/>
      <c r="AMM12"/>
    </row>
    <row r="13" spans="1:1027" x14ac:dyDescent="0.2">
      <c r="A13" s="145" t="s">
        <v>359</v>
      </c>
      <c r="B13" s="52">
        <v>2974</v>
      </c>
      <c r="C13" s="148">
        <f>C9-C10-C11-C12</f>
        <v>1786</v>
      </c>
      <c r="D13" s="149">
        <v>3243</v>
      </c>
      <c r="E13" s="50">
        <f t="shared" si="0"/>
        <v>9.045057162071285E-2</v>
      </c>
      <c r="F13" s="120">
        <f>(D13-C13)/C13</f>
        <v>0.81578947368421051</v>
      </c>
      <c r="G13" s="116">
        <v>0.42770000000000002</v>
      </c>
      <c r="I13" s="1" t="s">
        <v>232</v>
      </c>
      <c r="AMJ13"/>
      <c r="AMK13"/>
      <c r="AML13"/>
      <c r="AMM13"/>
    </row>
    <row r="14" spans="1:1027" x14ac:dyDescent="0.2">
      <c r="A14" s="48" t="s">
        <v>360</v>
      </c>
      <c r="B14" s="52">
        <v>46435</v>
      </c>
      <c r="C14" s="148">
        <v>35627</v>
      </c>
      <c r="D14" s="149">
        <v>45119</v>
      </c>
      <c r="E14" s="50">
        <f t="shared" si="0"/>
        <v>-2.8340691288898462E-2</v>
      </c>
      <c r="F14" s="120">
        <v>0.26600000000000001</v>
      </c>
      <c r="G14" s="116">
        <v>0.16700000000000001</v>
      </c>
      <c r="H14"/>
      <c r="AMJ14"/>
      <c r="AMK14"/>
      <c r="AML14"/>
      <c r="AMM14"/>
    </row>
    <row r="15" spans="1:1027" x14ac:dyDescent="0.2">
      <c r="A15" s="146" t="s">
        <v>144</v>
      </c>
      <c r="B15" s="53">
        <v>4690082</v>
      </c>
      <c r="C15" s="150">
        <f>C14+C9+C4</f>
        <v>3486256</v>
      </c>
      <c r="D15" s="151">
        <v>3909291</v>
      </c>
      <c r="E15" s="51">
        <f t="shared" si="0"/>
        <v>-0.16647704666997293</v>
      </c>
      <c r="F15" s="123">
        <v>0.11700000000000001</v>
      </c>
      <c r="G15" s="114">
        <v>0.151</v>
      </c>
      <c r="H15"/>
      <c r="AMJ15"/>
      <c r="AMK15"/>
      <c r="AML15"/>
      <c r="AMM15"/>
    </row>
    <row r="16" spans="1:1027" ht="11.25" customHeight="1" x14ac:dyDescent="0.2">
      <c r="A16" s="236" t="s">
        <v>384</v>
      </c>
      <c r="B16" s="236"/>
      <c r="C16" s="236"/>
      <c r="D16" s="236"/>
      <c r="E16" s="236"/>
      <c r="F16" s="236"/>
      <c r="G16" s="236"/>
      <c r="H16"/>
      <c r="AMJ16"/>
      <c r="AMK16"/>
      <c r="AML16"/>
      <c r="AMM16"/>
    </row>
    <row r="17" spans="1:8" x14ac:dyDescent="0.2">
      <c r="A17" s="147" t="s">
        <v>361</v>
      </c>
      <c r="B17" s="78"/>
      <c r="C17" s="78"/>
      <c r="D17" s="78"/>
      <c r="E17" s="152"/>
      <c r="F17" s="152"/>
      <c r="G17" s="152"/>
      <c r="H17"/>
    </row>
    <row r="18" spans="1:8" x14ac:dyDescent="0.2">
      <c r="E18"/>
      <c r="F18"/>
      <c r="G18"/>
      <c r="H18"/>
    </row>
    <row r="20" spans="1:8" x14ac:dyDescent="0.2">
      <c r="B20" s="49" t="s">
        <v>232</v>
      </c>
    </row>
  </sheetData>
  <mergeCells count="4">
    <mergeCell ref="A1:G1"/>
    <mergeCell ref="A2:A3"/>
    <mergeCell ref="A16:G16"/>
    <mergeCell ref="B2:F2"/>
  </mergeCells>
  <pageMargins left="0.98402777777777795" right="0.74791666666666701" top="1.37777777777778" bottom="0.98402777777777795" header="0.51180555555555496" footer="0.51180555555555496"/>
  <pageSetup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AMK35"/>
  <sheetViews>
    <sheetView zoomScaleNormal="100" workbookViewId="0">
      <selection activeCell="B2" sqref="B2:F2"/>
    </sheetView>
  </sheetViews>
  <sheetFormatPr baseColWidth="10" defaultColWidth="9.140625" defaultRowHeight="12.75" x14ac:dyDescent="0.2"/>
  <cols>
    <col min="1" max="1" width="38.140625" style="27"/>
    <col min="2" max="2" width="13" style="27" customWidth="1"/>
    <col min="3" max="3" width="13.140625" style="27" customWidth="1"/>
    <col min="4" max="4" width="13.42578125" style="27" customWidth="1"/>
    <col min="5" max="6" width="10.85546875" style="27" customWidth="1"/>
    <col min="7" max="1025" width="11" style="27"/>
  </cols>
  <sheetData>
    <row r="1" spans="1:1025" x14ac:dyDescent="0.2">
      <c r="A1" s="246" t="s">
        <v>367</v>
      </c>
      <c r="B1" s="246"/>
      <c r="C1" s="246"/>
      <c r="D1" s="246"/>
      <c r="E1" s="246"/>
      <c r="F1" s="246"/>
      <c r="G1"/>
    </row>
    <row r="2" spans="1:1025" ht="56.25" x14ac:dyDescent="0.2">
      <c r="A2" s="153"/>
      <c r="B2" s="196" t="s">
        <v>253</v>
      </c>
      <c r="C2" s="196" t="s">
        <v>368</v>
      </c>
      <c r="D2" s="196" t="s">
        <v>369</v>
      </c>
      <c r="E2" s="196" t="s">
        <v>76</v>
      </c>
      <c r="F2" s="196" t="s">
        <v>224</v>
      </c>
      <c r="G2"/>
    </row>
    <row r="3" spans="1:1025" x14ac:dyDescent="0.2">
      <c r="A3" s="154" t="s">
        <v>48</v>
      </c>
      <c r="B3" s="155">
        <f>5448964.662+432587</f>
        <v>5881551.6619999995</v>
      </c>
      <c r="C3" s="155">
        <v>2071179.8164699997</v>
      </c>
      <c r="D3" s="155">
        <f>D4+D6+D11+D16+D21+D29</f>
        <v>7520144.4784699995</v>
      </c>
      <c r="E3" s="103">
        <f>D3/7520144</f>
        <v>1.0000000636251114</v>
      </c>
      <c r="F3" s="156">
        <f>F4+F6+F11+F16+F21+F29</f>
        <v>6410.9916372863609</v>
      </c>
      <c r="G3"/>
      <c r="AMI3"/>
      <c r="AMJ3"/>
      <c r="AMK3"/>
    </row>
    <row r="4" spans="1:1025" x14ac:dyDescent="0.2">
      <c r="A4" s="157" t="s">
        <v>79</v>
      </c>
      <c r="B4" s="158">
        <v>1246273.564</v>
      </c>
      <c r="C4" s="158">
        <v>28800.918290000001</v>
      </c>
      <c r="D4" s="158">
        <f t="shared" ref="D4:D32" si="0">B4+C4</f>
        <v>1275074.48229</v>
      </c>
      <c r="E4" s="159">
        <f t="shared" ref="E4:E33" si="1">D4/7520144</f>
        <v>0.16955453011139149</v>
      </c>
      <c r="F4" s="160">
        <f>D4*1000/1173008</f>
        <v>1087.0126054468512</v>
      </c>
      <c r="G4"/>
      <c r="H4" s="34"/>
      <c r="AMI4"/>
      <c r="AMJ4"/>
      <c r="AMK4"/>
    </row>
    <row r="5" spans="1:1025" x14ac:dyDescent="0.2">
      <c r="A5" s="153" t="s">
        <v>79</v>
      </c>
      <c r="B5" s="161">
        <v>1246273.564</v>
      </c>
      <c r="C5" s="161">
        <v>28800.918290000001</v>
      </c>
      <c r="D5" s="161">
        <f t="shared" si="0"/>
        <v>1275074.48229</v>
      </c>
      <c r="E5" s="64">
        <f t="shared" si="1"/>
        <v>0.16955453011139149</v>
      </c>
      <c r="F5" s="162">
        <f t="shared" ref="F5:F33" si="2">D5*1000/1173008</f>
        <v>1087.0126054468512</v>
      </c>
      <c r="G5" s="3"/>
      <c r="AMI5"/>
      <c r="AMJ5"/>
      <c r="AMK5"/>
    </row>
    <row r="6" spans="1:1025" x14ac:dyDescent="0.2">
      <c r="A6" s="157" t="s">
        <v>82</v>
      </c>
      <c r="B6" s="158">
        <v>202826.39</v>
      </c>
      <c r="C6" s="158">
        <v>723346.80507999985</v>
      </c>
      <c r="D6" s="158">
        <f t="shared" si="0"/>
        <v>926173.19507999986</v>
      </c>
      <c r="E6" s="159">
        <f t="shared" si="1"/>
        <v>0.12315897076970865</v>
      </c>
      <c r="F6" s="160">
        <f t="shared" si="2"/>
        <v>789.57108142484947</v>
      </c>
      <c r="AMI6"/>
      <c r="AMJ6"/>
      <c r="AMK6"/>
    </row>
    <row r="7" spans="1:1025" x14ac:dyDescent="0.2">
      <c r="A7" s="153" t="s">
        <v>84</v>
      </c>
      <c r="B7" s="161">
        <v>12955.540999999999</v>
      </c>
      <c r="C7" s="161">
        <v>253327.64576000001</v>
      </c>
      <c r="D7" s="161">
        <f t="shared" si="0"/>
        <v>266283.18676000001</v>
      </c>
      <c r="E7" s="64">
        <f t="shared" si="1"/>
        <v>3.540932018854958E-2</v>
      </c>
      <c r="F7" s="162">
        <f t="shared" si="2"/>
        <v>227.00884116732368</v>
      </c>
      <c r="AMI7"/>
      <c r="AMJ7"/>
      <c r="AMK7"/>
    </row>
    <row r="8" spans="1:1025" x14ac:dyDescent="0.2">
      <c r="A8" s="153" t="s">
        <v>86</v>
      </c>
      <c r="B8" s="161">
        <v>32030.728999999999</v>
      </c>
      <c r="C8" s="161">
        <v>123129.06764000001</v>
      </c>
      <c r="D8" s="161">
        <f t="shared" si="0"/>
        <v>155159.79664000002</v>
      </c>
      <c r="E8" s="64">
        <f t="shared" si="1"/>
        <v>2.0632556589341908E-2</v>
      </c>
      <c r="F8" s="162">
        <f t="shared" si="2"/>
        <v>132.2751393340881</v>
      </c>
      <c r="AMI8"/>
      <c r="AMJ8"/>
      <c r="AMK8"/>
    </row>
    <row r="9" spans="1:1025" x14ac:dyDescent="0.2">
      <c r="A9" s="153" t="s">
        <v>88</v>
      </c>
      <c r="B9" s="161">
        <v>2568.4839999999999</v>
      </c>
      <c r="C9" s="161">
        <v>255844.42311999996</v>
      </c>
      <c r="D9" s="161">
        <f t="shared" si="0"/>
        <v>258412.90711999996</v>
      </c>
      <c r="E9" s="64">
        <f t="shared" si="1"/>
        <v>3.4362760489692744E-2</v>
      </c>
      <c r="F9" s="162">
        <f t="shared" si="2"/>
        <v>220.29935611692329</v>
      </c>
      <c r="AMI9"/>
      <c r="AMJ9"/>
      <c r="AMK9"/>
    </row>
    <row r="10" spans="1:1025" x14ac:dyDescent="0.2">
      <c r="A10" s="153" t="s">
        <v>90</v>
      </c>
      <c r="B10" s="161">
        <v>155271.636</v>
      </c>
      <c r="C10" s="161">
        <v>91045.668550000002</v>
      </c>
      <c r="D10" s="161">
        <f t="shared" si="0"/>
        <v>246317.30455</v>
      </c>
      <c r="E10" s="64">
        <f t="shared" si="1"/>
        <v>3.2754333500794666E-2</v>
      </c>
      <c r="F10" s="162">
        <f t="shared" si="2"/>
        <v>209.98774479798945</v>
      </c>
      <c r="AMI10"/>
      <c r="AMJ10"/>
      <c r="AMK10"/>
    </row>
    <row r="11" spans="1:1025" x14ac:dyDescent="0.2">
      <c r="A11" s="157" t="s">
        <v>92</v>
      </c>
      <c r="B11" s="158">
        <v>333956.00300000003</v>
      </c>
      <c r="C11" s="158">
        <v>424063.31972000003</v>
      </c>
      <c r="D11" s="158">
        <f t="shared" si="0"/>
        <v>758019.32272000005</v>
      </c>
      <c r="E11" s="159">
        <f t="shared" si="1"/>
        <v>0.10079851166679787</v>
      </c>
      <c r="F11" s="160">
        <f t="shared" si="2"/>
        <v>646.21837423103682</v>
      </c>
      <c r="AMI11"/>
      <c r="AMJ11"/>
      <c r="AMK11"/>
    </row>
    <row r="12" spans="1:1025" x14ac:dyDescent="0.2">
      <c r="A12" s="153" t="s">
        <v>94</v>
      </c>
      <c r="B12" s="161">
        <v>46116.883000000002</v>
      </c>
      <c r="C12" s="161">
        <v>3398.1766400000001</v>
      </c>
      <c r="D12" s="161">
        <f t="shared" si="0"/>
        <v>49515.059639999999</v>
      </c>
      <c r="E12" s="64">
        <f t="shared" si="1"/>
        <v>6.5843233374254535E-3</v>
      </c>
      <c r="F12" s="162">
        <f t="shared" si="2"/>
        <v>42.212039167678313</v>
      </c>
      <c r="AMI12"/>
      <c r="AMJ12"/>
      <c r="AMK12"/>
    </row>
    <row r="13" spans="1:1025" x14ac:dyDescent="0.2">
      <c r="A13" s="153" t="s">
        <v>96</v>
      </c>
      <c r="B13" s="161">
        <v>12984.722</v>
      </c>
      <c r="C13" s="161">
        <v>3102.9680400000002</v>
      </c>
      <c r="D13" s="161">
        <f t="shared" si="0"/>
        <v>16087.690039999999</v>
      </c>
      <c r="E13" s="64">
        <f t="shared" si="1"/>
        <v>2.1392795191155912E-3</v>
      </c>
      <c r="F13" s="162">
        <f t="shared" si="2"/>
        <v>13.714902234255861</v>
      </c>
      <c r="AMI13"/>
      <c r="AMJ13"/>
      <c r="AMK13"/>
    </row>
    <row r="14" spans="1:1025" x14ac:dyDescent="0.2">
      <c r="A14" s="153" t="s">
        <v>221</v>
      </c>
      <c r="B14" s="161">
        <v>169797.81400000001</v>
      </c>
      <c r="C14" s="161">
        <v>390229.37907999998</v>
      </c>
      <c r="D14" s="161">
        <f t="shared" si="0"/>
        <v>560027.19308</v>
      </c>
      <c r="E14" s="64">
        <f t="shared" si="1"/>
        <v>7.4470275180900797E-2</v>
      </c>
      <c r="F14" s="162">
        <f t="shared" si="2"/>
        <v>477.42828103474147</v>
      </c>
      <c r="AMI14"/>
      <c r="AMJ14"/>
      <c r="AMK14"/>
    </row>
    <row r="15" spans="1:1025" x14ac:dyDescent="0.2">
      <c r="A15" s="153" t="s">
        <v>222</v>
      </c>
      <c r="B15" s="161">
        <v>105056.584</v>
      </c>
      <c r="C15" s="161">
        <v>27332.795969999999</v>
      </c>
      <c r="D15" s="161">
        <f t="shared" si="0"/>
        <v>132389.37997000001</v>
      </c>
      <c r="E15" s="64">
        <f t="shared" si="1"/>
        <v>1.7604633630685797E-2</v>
      </c>
      <c r="F15" s="162">
        <f t="shared" si="2"/>
        <v>112.86315180288626</v>
      </c>
      <c r="AMI15"/>
      <c r="AMJ15"/>
      <c r="AMK15"/>
    </row>
    <row r="16" spans="1:1025" x14ac:dyDescent="0.2">
      <c r="A16" s="157" t="s">
        <v>101</v>
      </c>
      <c r="B16" s="158">
        <v>3080321.7439999999</v>
      </c>
      <c r="C16" s="158">
        <v>307420.03670000006</v>
      </c>
      <c r="D16" s="158">
        <f t="shared" si="0"/>
        <v>3387741.7807</v>
      </c>
      <c r="E16" s="159">
        <f t="shared" si="1"/>
        <v>0.45048895083657975</v>
      </c>
      <c r="F16" s="160">
        <f t="shared" si="2"/>
        <v>2888.0807127487619</v>
      </c>
      <c r="AMI16"/>
      <c r="AMJ16"/>
      <c r="AMK16"/>
    </row>
    <row r="17" spans="1:1025" x14ac:dyDescent="0.2">
      <c r="A17" s="153" t="s">
        <v>103</v>
      </c>
      <c r="B17" s="161">
        <v>2011384.2490000001</v>
      </c>
      <c r="C17" s="161">
        <v>17298.08325</v>
      </c>
      <c r="D17" s="161">
        <f t="shared" si="0"/>
        <v>2028682.33225</v>
      </c>
      <c r="E17" s="64">
        <f t="shared" si="1"/>
        <v>0.26976642099539583</v>
      </c>
      <c r="F17" s="162">
        <f t="shared" si="2"/>
        <v>1729.4701589844231</v>
      </c>
      <c r="AMI17"/>
      <c r="AMJ17"/>
      <c r="AMK17"/>
    </row>
    <row r="18" spans="1:1025" x14ac:dyDescent="0.2">
      <c r="A18" s="153" t="s">
        <v>105</v>
      </c>
      <c r="B18" s="161">
        <v>1020203.562</v>
      </c>
      <c r="C18" s="161">
        <v>79133.070260000008</v>
      </c>
      <c r="D18" s="161">
        <f t="shared" si="0"/>
        <v>1099336.6322600001</v>
      </c>
      <c r="E18" s="64">
        <f t="shared" si="1"/>
        <v>0.1461855826510769</v>
      </c>
      <c r="F18" s="162">
        <f t="shared" si="2"/>
        <v>937.1944882387844</v>
      </c>
      <c r="AMI18"/>
      <c r="AMJ18"/>
      <c r="AMK18"/>
    </row>
    <row r="19" spans="1:1025" x14ac:dyDescent="0.2">
      <c r="A19" s="153" t="s">
        <v>107</v>
      </c>
      <c r="B19" s="161">
        <v>28194.552</v>
      </c>
      <c r="C19" s="161">
        <v>126273.59417000003</v>
      </c>
      <c r="D19" s="161">
        <f t="shared" si="0"/>
        <v>154468.14617000002</v>
      </c>
      <c r="E19" s="64">
        <f t="shared" si="1"/>
        <v>2.054058355398514E-2</v>
      </c>
      <c r="F19" s="162">
        <f t="shared" si="2"/>
        <v>131.68550101107581</v>
      </c>
      <c r="AMI19"/>
      <c r="AMJ19"/>
      <c r="AMK19"/>
    </row>
    <row r="20" spans="1:1025" x14ac:dyDescent="0.2">
      <c r="A20" s="153" t="s">
        <v>109</v>
      </c>
      <c r="B20" s="161">
        <v>20539.381000000001</v>
      </c>
      <c r="C20" s="161">
        <v>84715.289009999993</v>
      </c>
      <c r="D20" s="161">
        <f t="shared" si="0"/>
        <v>105254.67001</v>
      </c>
      <c r="E20" s="64">
        <f t="shared" si="1"/>
        <v>1.39963636347921E-2</v>
      </c>
      <c r="F20" s="162">
        <f t="shared" si="2"/>
        <v>89.730564505953922</v>
      </c>
      <c r="AMI20"/>
      <c r="AMJ20"/>
      <c r="AMK20"/>
    </row>
    <row r="21" spans="1:1025" x14ac:dyDescent="0.2">
      <c r="A21" s="157" t="s">
        <v>111</v>
      </c>
      <c r="B21" s="158">
        <v>305921.33899999998</v>
      </c>
      <c r="C21" s="158">
        <v>262167.32010000001</v>
      </c>
      <c r="D21" s="158">
        <f t="shared" si="0"/>
        <v>568088.65910000005</v>
      </c>
      <c r="E21" s="159">
        <f t="shared" si="1"/>
        <v>7.5542258113674432E-2</v>
      </c>
      <c r="F21" s="160">
        <f t="shared" si="2"/>
        <v>484.30075421480501</v>
      </c>
      <c r="AMI21"/>
      <c r="AMJ21"/>
      <c r="AMK21"/>
    </row>
    <row r="22" spans="1:1025" x14ac:dyDescent="0.2">
      <c r="A22" s="153" t="s">
        <v>113</v>
      </c>
      <c r="B22" s="161">
        <v>49348.142999999996</v>
      </c>
      <c r="C22" s="161">
        <v>10239.768979999999</v>
      </c>
      <c r="D22" s="161">
        <f t="shared" si="0"/>
        <v>59587.911979999997</v>
      </c>
      <c r="E22" s="64">
        <f t="shared" si="1"/>
        <v>7.9237727336072279E-3</v>
      </c>
      <c r="F22" s="162">
        <f t="shared" si="2"/>
        <v>50.799237498806484</v>
      </c>
      <c r="AMI22"/>
      <c r="AMJ22"/>
      <c r="AMK22"/>
    </row>
    <row r="23" spans="1:1025" x14ac:dyDescent="0.2">
      <c r="A23" s="153" t="s">
        <v>115</v>
      </c>
      <c r="B23" s="161">
        <v>22851.924999999999</v>
      </c>
      <c r="C23" s="161">
        <v>20522.43922</v>
      </c>
      <c r="D23" s="161">
        <f t="shared" si="0"/>
        <v>43374.364220000003</v>
      </c>
      <c r="E23" s="64">
        <f t="shared" si="1"/>
        <v>5.7677571360335656E-3</v>
      </c>
      <c r="F23" s="162">
        <f t="shared" si="2"/>
        <v>36.977040412341609</v>
      </c>
      <c r="AMI23"/>
      <c r="AMJ23"/>
      <c r="AMK23"/>
    </row>
    <row r="24" spans="1:1025" x14ac:dyDescent="0.2">
      <c r="A24" s="153" t="s">
        <v>117</v>
      </c>
      <c r="B24" s="161">
        <v>20378.264999999999</v>
      </c>
      <c r="C24" s="161">
        <v>58598.74270000001</v>
      </c>
      <c r="D24" s="161">
        <f t="shared" si="0"/>
        <v>78977.007700000016</v>
      </c>
      <c r="E24" s="64">
        <f t="shared" si="1"/>
        <v>1.0502060558946745E-2</v>
      </c>
      <c r="F24" s="162">
        <f t="shared" si="2"/>
        <v>67.32861813389168</v>
      </c>
      <c r="AMI24"/>
      <c r="AMJ24"/>
      <c r="AMK24"/>
    </row>
    <row r="25" spans="1:1025" x14ac:dyDescent="0.2">
      <c r="A25" s="153" t="s">
        <v>119</v>
      </c>
      <c r="B25" s="161">
        <v>143497.916</v>
      </c>
      <c r="C25" s="161">
        <v>34931.506719999998</v>
      </c>
      <c r="D25" s="161">
        <f t="shared" si="0"/>
        <v>178429.42272</v>
      </c>
      <c r="E25" s="64">
        <f t="shared" si="1"/>
        <v>2.3726862506888165E-2</v>
      </c>
      <c r="F25" s="162">
        <f t="shared" si="2"/>
        <v>152.11270743251538</v>
      </c>
      <c r="AMI25"/>
      <c r="AMJ25"/>
      <c r="AMK25"/>
    </row>
    <row r="26" spans="1:1025" x14ac:dyDescent="0.2">
      <c r="A26" s="153" t="s">
        <v>121</v>
      </c>
      <c r="B26" s="161">
        <v>4826.4440000000004</v>
      </c>
      <c r="C26" s="161">
        <v>129745.81527000001</v>
      </c>
      <c r="D26" s="161">
        <f t="shared" si="0"/>
        <v>134572.25927000001</v>
      </c>
      <c r="E26" s="64">
        <f t="shared" si="1"/>
        <v>1.7894904574965589E-2</v>
      </c>
      <c r="F26" s="162">
        <f t="shared" si="2"/>
        <v>114.72407628080968</v>
      </c>
      <c r="AMI26"/>
      <c r="AMJ26"/>
      <c r="AMK26"/>
    </row>
    <row r="27" spans="1:1025" x14ac:dyDescent="0.2">
      <c r="A27" s="153" t="s">
        <v>223</v>
      </c>
      <c r="B27" s="161">
        <v>62320.978999999999</v>
      </c>
      <c r="C27" s="161">
        <v>2090.7958199999998</v>
      </c>
      <c r="D27" s="161">
        <f t="shared" si="0"/>
        <v>64411.774819999999</v>
      </c>
      <c r="E27" s="64">
        <f t="shared" si="1"/>
        <v>8.5652315726932882E-3</v>
      </c>
      <c r="F27" s="162">
        <f t="shared" si="2"/>
        <v>54.911624490199557</v>
      </c>
      <c r="AMI27"/>
      <c r="AMJ27"/>
      <c r="AMK27"/>
    </row>
    <row r="28" spans="1:1025" x14ac:dyDescent="0.2">
      <c r="A28" s="153" t="s">
        <v>125</v>
      </c>
      <c r="B28" s="161">
        <v>2697.6669999999999</v>
      </c>
      <c r="C28" s="161">
        <v>6038.2513600000002</v>
      </c>
      <c r="D28" s="161">
        <f t="shared" si="0"/>
        <v>8735.9183599999997</v>
      </c>
      <c r="E28" s="64">
        <f t="shared" si="1"/>
        <v>1.1616690265505553E-3</v>
      </c>
      <c r="F28" s="162">
        <f t="shared" si="2"/>
        <v>7.4474499406653658</v>
      </c>
      <c r="AMI28"/>
      <c r="AMJ28"/>
      <c r="AMK28"/>
    </row>
    <row r="29" spans="1:1025" x14ac:dyDescent="0.2">
      <c r="A29" s="157" t="s">
        <v>127</v>
      </c>
      <c r="B29" s="158">
        <f>279665.622+B33</f>
        <v>712252.62199999997</v>
      </c>
      <c r="C29" s="158">
        <v>325381.41657999996</v>
      </c>
      <c r="D29" s="158">
        <f>SUM(D30:D33)</f>
        <v>605047.03857999993</v>
      </c>
      <c r="E29" s="159">
        <f t="shared" si="1"/>
        <v>8.0456842126959263E-2</v>
      </c>
      <c r="F29" s="160">
        <f t="shared" si="2"/>
        <v>515.80810922005639</v>
      </c>
      <c r="AMI29"/>
      <c r="AMJ29"/>
      <c r="AMK29"/>
    </row>
    <row r="30" spans="1:1025" x14ac:dyDescent="0.2">
      <c r="A30" s="153" t="s">
        <v>129</v>
      </c>
      <c r="B30" s="161">
        <v>20952.565999999999</v>
      </c>
      <c r="C30" s="161">
        <v>49139.870869999999</v>
      </c>
      <c r="D30" s="161">
        <f t="shared" si="0"/>
        <v>70092.436870000005</v>
      </c>
      <c r="E30" s="64">
        <f t="shared" si="1"/>
        <v>9.3206242952262632E-3</v>
      </c>
      <c r="F30" s="162">
        <f t="shared" si="2"/>
        <v>59.754440609100712</v>
      </c>
      <c r="AMI30"/>
      <c r="AMJ30"/>
      <c r="AMK30"/>
    </row>
    <row r="31" spans="1:1025" x14ac:dyDescent="0.2">
      <c r="A31" s="153" t="s">
        <v>131</v>
      </c>
      <c r="B31" s="161">
        <v>118784.855</v>
      </c>
      <c r="C31" s="161">
        <v>202159.23054000002</v>
      </c>
      <c r="D31" s="161">
        <f t="shared" si="0"/>
        <v>320944.08554</v>
      </c>
      <c r="E31" s="64">
        <f t="shared" si="1"/>
        <v>4.2677917542536421E-2</v>
      </c>
      <c r="F31" s="162">
        <f t="shared" si="2"/>
        <v>273.607755053674</v>
      </c>
      <c r="AMI31"/>
      <c r="AMJ31"/>
      <c r="AMK31"/>
    </row>
    <row r="32" spans="1:1025" x14ac:dyDescent="0.2">
      <c r="A32" s="153" t="s">
        <v>133</v>
      </c>
      <c r="B32" s="161">
        <v>139928.201</v>
      </c>
      <c r="C32" s="161">
        <v>70856.668040000004</v>
      </c>
      <c r="D32" s="161">
        <f t="shared" si="0"/>
        <v>210784.86904000002</v>
      </c>
      <c r="E32" s="64">
        <f t="shared" si="1"/>
        <v>2.8029366065330668E-2</v>
      </c>
      <c r="F32" s="162">
        <f t="shared" si="2"/>
        <v>179.69602001009372</v>
      </c>
      <c r="AMI32"/>
      <c r="AMJ32"/>
      <c r="AMK32"/>
    </row>
    <row r="33" spans="1:1025" x14ac:dyDescent="0.2">
      <c r="A33" s="153" t="s">
        <v>135</v>
      </c>
      <c r="B33" s="161">
        <v>432587</v>
      </c>
      <c r="C33" s="161">
        <v>3225.6471299999994</v>
      </c>
      <c r="D33" s="161">
        <f>B33+C33-B33</f>
        <v>3225.6471299999976</v>
      </c>
      <c r="E33" s="64">
        <f t="shared" si="1"/>
        <v>4.2893422386592564E-4</v>
      </c>
      <c r="F33" s="162">
        <f t="shared" si="2"/>
        <v>2.7498935471880821</v>
      </c>
      <c r="AMI33"/>
      <c r="AMJ33"/>
      <c r="AMK33"/>
    </row>
    <row r="34" spans="1:1025" x14ac:dyDescent="0.2">
      <c r="A34" s="236" t="s">
        <v>156</v>
      </c>
      <c r="B34" s="236"/>
      <c r="C34" s="236"/>
      <c r="D34" s="236"/>
      <c r="E34" s="236"/>
      <c r="F34" s="236"/>
      <c r="AMJ34"/>
      <c r="AMK34"/>
    </row>
    <row r="35" spans="1:1025" x14ac:dyDescent="0.2">
      <c r="AMJ35"/>
      <c r="AMK35"/>
    </row>
  </sheetData>
  <mergeCells count="2">
    <mergeCell ref="A1:F1"/>
    <mergeCell ref="A34:F34"/>
  </mergeCells>
  <pageMargins left="0.75" right="0.75" top="1" bottom="1" header="0.51180555555555496" footer="0.51180555555555496"/>
  <pageSetup firstPageNumber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AMK36"/>
  <sheetViews>
    <sheetView zoomScale="90" zoomScaleNormal="90" workbookViewId="0">
      <selection activeCell="B2" sqref="B2:G2"/>
    </sheetView>
  </sheetViews>
  <sheetFormatPr baseColWidth="10" defaultColWidth="9.140625" defaultRowHeight="12.75" x14ac:dyDescent="0.2"/>
  <cols>
    <col min="1" max="1" width="39.28515625" style="27"/>
    <col min="2" max="2" width="14.7109375" style="27" customWidth="1"/>
    <col min="3" max="3" width="14.85546875" style="27" customWidth="1"/>
    <col min="4" max="5" width="13.7109375" style="27" customWidth="1"/>
    <col min="6" max="6" width="13.5703125" style="27" customWidth="1"/>
    <col min="7" max="7" width="13.85546875" style="27" customWidth="1"/>
    <col min="8" max="1025" width="11" style="27"/>
  </cols>
  <sheetData>
    <row r="1" spans="1:8 1025:1025" x14ac:dyDescent="0.2">
      <c r="A1" s="246" t="s">
        <v>365</v>
      </c>
      <c r="B1" s="246"/>
      <c r="C1" s="246"/>
      <c r="D1" s="246"/>
      <c r="E1" s="246"/>
      <c r="F1" s="246"/>
      <c r="G1" s="246"/>
    </row>
    <row r="2" spans="1:8 1025:1025" ht="45" x14ac:dyDescent="0.2">
      <c r="A2" s="153"/>
      <c r="B2" s="196" t="s">
        <v>370</v>
      </c>
      <c r="C2" s="196" t="s">
        <v>216</v>
      </c>
      <c r="D2" s="196" t="s">
        <v>217</v>
      </c>
      <c r="E2" s="196" t="s">
        <v>218</v>
      </c>
      <c r="F2" s="196" t="s">
        <v>219</v>
      </c>
      <c r="G2" s="196" t="s">
        <v>220</v>
      </c>
    </row>
    <row r="3" spans="1:8 1025:1025" x14ac:dyDescent="0.2">
      <c r="A3" s="154" t="s">
        <v>48</v>
      </c>
      <c r="B3" s="155">
        <v>7520144.4784699995</v>
      </c>
      <c r="C3" s="163">
        <v>12290047.207746012</v>
      </c>
      <c r="D3" s="164">
        <v>6410.9916372863609</v>
      </c>
      <c r="E3" s="164">
        <v>10477.377142991361</v>
      </c>
      <c r="F3" s="164">
        <f>+F4+F6+F11+F16+F21+F29</f>
        <v>16888.368780277724</v>
      </c>
      <c r="G3" s="143">
        <f>+G4+G6+G11+G16+G21+G29</f>
        <v>0.999999927777383</v>
      </c>
      <c r="AMK3"/>
    </row>
    <row r="4" spans="1:8 1025:1025" x14ac:dyDescent="0.2">
      <c r="A4" s="157" t="s">
        <v>79</v>
      </c>
      <c r="B4" s="158">
        <v>1275074.48229</v>
      </c>
      <c r="C4" s="158">
        <v>3121222.473679251</v>
      </c>
      <c r="D4" s="160">
        <v>1087.0126054468512</v>
      </c>
      <c r="E4" s="160">
        <v>2660.8705769093231</v>
      </c>
      <c r="F4" s="160">
        <f t="shared" ref="F4:F32" si="0">D4+E4</f>
        <v>3747.8831823561741</v>
      </c>
      <c r="G4" s="159">
        <f>F4/16888.37</f>
        <v>0.22192095402671627</v>
      </c>
    </row>
    <row r="5" spans="1:8 1025:1025" x14ac:dyDescent="0.2">
      <c r="A5" s="153" t="s">
        <v>79</v>
      </c>
      <c r="B5" s="161">
        <v>1275074.48229</v>
      </c>
      <c r="C5" s="161">
        <v>3121222.473679251</v>
      </c>
      <c r="D5" s="165">
        <v>1087.0126054468512</v>
      </c>
      <c r="E5" s="165">
        <v>2660.8705769093231</v>
      </c>
      <c r="F5" s="162">
        <f t="shared" si="0"/>
        <v>3747.8831823561741</v>
      </c>
      <c r="G5" s="64">
        <f t="shared" ref="G5:G33" si="1">F5/16888.37</f>
        <v>0.22192095402671627</v>
      </c>
      <c r="H5" s="27" t="s">
        <v>232</v>
      </c>
    </row>
    <row r="6" spans="1:8 1025:1025" x14ac:dyDescent="0.2">
      <c r="A6" s="157" t="s">
        <v>82</v>
      </c>
      <c r="B6" s="158">
        <v>926173.19507999986</v>
      </c>
      <c r="C6" s="158">
        <v>591936.35029672936</v>
      </c>
      <c r="D6" s="160">
        <v>789.57108142484947</v>
      </c>
      <c r="E6" s="160">
        <v>504.6311280884097</v>
      </c>
      <c r="F6" s="160">
        <f t="shared" si="0"/>
        <v>1294.2022095132593</v>
      </c>
      <c r="G6" s="159">
        <f t="shared" si="1"/>
        <v>7.6632748424700511E-2</v>
      </c>
    </row>
    <row r="7" spans="1:8 1025:1025" x14ac:dyDescent="0.2">
      <c r="A7" s="153" t="s">
        <v>84</v>
      </c>
      <c r="B7" s="161">
        <v>266283.18676000001</v>
      </c>
      <c r="C7" s="161">
        <v>515246.03525744914</v>
      </c>
      <c r="D7" s="162">
        <v>227.00884116732368</v>
      </c>
      <c r="E7" s="162">
        <v>439.25193626765474</v>
      </c>
      <c r="F7" s="165">
        <f t="shared" si="0"/>
        <v>666.26077743497842</v>
      </c>
      <c r="G7" s="64">
        <f t="shared" si="1"/>
        <v>3.9450863371360202E-2</v>
      </c>
    </row>
    <row r="8" spans="1:8 1025:1025" x14ac:dyDescent="0.2">
      <c r="A8" s="153" t="s">
        <v>86</v>
      </c>
      <c r="B8" s="161">
        <v>155159.79664000002</v>
      </c>
      <c r="C8" s="161">
        <v>55772.524139282832</v>
      </c>
      <c r="D8" s="162">
        <v>132.2751393340881</v>
      </c>
      <c r="E8" s="162">
        <v>47.54658462626243</v>
      </c>
      <c r="F8" s="165">
        <f t="shared" si="0"/>
        <v>179.82172396035054</v>
      </c>
      <c r="G8" s="64">
        <f t="shared" si="1"/>
        <v>1.0647666054234397E-2</v>
      </c>
    </row>
    <row r="9" spans="1:8 1025:1025" x14ac:dyDescent="0.2">
      <c r="A9" s="153" t="s">
        <v>88</v>
      </c>
      <c r="B9" s="161">
        <v>258412.90711999996</v>
      </c>
      <c r="C9" s="161">
        <v>12699.203232779448</v>
      </c>
      <c r="D9" s="162">
        <v>220.29935611692329</v>
      </c>
      <c r="E9" s="162">
        <v>10.826186379615013</v>
      </c>
      <c r="F9" s="165">
        <f t="shared" si="0"/>
        <v>231.12554249653832</v>
      </c>
      <c r="G9" s="64">
        <f t="shared" si="1"/>
        <v>1.3685485484776704E-2</v>
      </c>
    </row>
    <row r="10" spans="1:8 1025:1025" x14ac:dyDescent="0.2">
      <c r="A10" s="153" t="s">
        <v>90</v>
      </c>
      <c r="B10" s="161">
        <v>246317.30455</v>
      </c>
      <c r="C10" s="161">
        <v>8218.5876672178874</v>
      </c>
      <c r="D10" s="162">
        <v>209.98774479798945</v>
      </c>
      <c r="E10" s="162">
        <v>7.0064208148775515</v>
      </c>
      <c r="F10" s="165">
        <f t="shared" si="0"/>
        <v>216.99416561286699</v>
      </c>
      <c r="G10" s="64">
        <f t="shared" si="1"/>
        <v>1.2848733513824425E-2</v>
      </c>
    </row>
    <row r="11" spans="1:8 1025:1025" x14ac:dyDescent="0.2">
      <c r="A11" s="157" t="s">
        <v>92</v>
      </c>
      <c r="B11" s="158">
        <v>758019.32272000005</v>
      </c>
      <c r="C11" s="158">
        <v>5548561.6214394113</v>
      </c>
      <c r="D11" s="160">
        <v>646.21837423103682</v>
      </c>
      <c r="E11" s="160">
        <v>4730.1993008056306</v>
      </c>
      <c r="F11" s="160">
        <f t="shared" si="0"/>
        <v>5376.4176750366678</v>
      </c>
      <c r="G11" s="159">
        <f t="shared" si="1"/>
        <v>0.31835030112655444</v>
      </c>
    </row>
    <row r="12" spans="1:8 1025:1025" x14ac:dyDescent="0.2">
      <c r="A12" s="153" t="s">
        <v>94</v>
      </c>
      <c r="B12" s="161">
        <v>49515.059639999999</v>
      </c>
      <c r="C12" s="161">
        <v>4661548.2681510039</v>
      </c>
      <c r="D12" s="162">
        <v>42.212039167678313</v>
      </c>
      <c r="E12" s="162">
        <v>3974.0123410505335</v>
      </c>
      <c r="F12" s="162">
        <f t="shared" si="0"/>
        <v>4016.224380218212</v>
      </c>
      <c r="G12" s="64">
        <f t="shared" si="1"/>
        <v>0.23781006575638811</v>
      </c>
    </row>
    <row r="13" spans="1:8 1025:1025" x14ac:dyDescent="0.2">
      <c r="A13" s="153" t="s">
        <v>96</v>
      </c>
      <c r="B13" s="161">
        <v>16087.690039999999</v>
      </c>
      <c r="C13" s="161">
        <v>510517.87187058583</v>
      </c>
      <c r="D13" s="162">
        <v>13.714902234255861</v>
      </c>
      <c r="E13" s="162">
        <v>435.22113393138477</v>
      </c>
      <c r="F13" s="162">
        <f t="shared" si="0"/>
        <v>448.93603616564064</v>
      </c>
      <c r="G13" s="64">
        <f t="shared" si="1"/>
        <v>2.6582555697538642E-2</v>
      </c>
    </row>
    <row r="14" spans="1:8 1025:1025" x14ac:dyDescent="0.2">
      <c r="A14" s="153" t="s">
        <v>221</v>
      </c>
      <c r="B14" s="161">
        <v>560027.19308</v>
      </c>
      <c r="C14" s="161">
        <v>193186.31974388071</v>
      </c>
      <c r="D14" s="162">
        <v>477.42828103474147</v>
      </c>
      <c r="E14" s="162">
        <v>164.69309650392896</v>
      </c>
      <c r="F14" s="162">
        <f t="shared" si="0"/>
        <v>642.12137753867046</v>
      </c>
      <c r="G14" s="64">
        <f t="shared" si="1"/>
        <v>3.8021512883639481E-2</v>
      </c>
    </row>
    <row r="15" spans="1:8 1025:1025" x14ac:dyDescent="0.2">
      <c r="A15" s="153" t="s">
        <v>222</v>
      </c>
      <c r="B15" s="161">
        <v>132389.37997000001</v>
      </c>
      <c r="C15" s="161">
        <v>183309.16167394113</v>
      </c>
      <c r="D15" s="162">
        <v>112.86315180288626</v>
      </c>
      <c r="E15" s="162">
        <v>156.27272931978393</v>
      </c>
      <c r="F15" s="162">
        <f t="shared" si="0"/>
        <v>269.13588112267018</v>
      </c>
      <c r="G15" s="64">
        <f t="shared" si="1"/>
        <v>1.5936166789493018E-2</v>
      </c>
    </row>
    <row r="16" spans="1:8 1025:1025" x14ac:dyDescent="0.2">
      <c r="A16" s="157" t="s">
        <v>101</v>
      </c>
      <c r="B16" s="158">
        <v>3387741.7807</v>
      </c>
      <c r="C16" s="158">
        <v>325772.93283309456</v>
      </c>
      <c r="D16" s="160">
        <v>2888.0807127487619</v>
      </c>
      <c r="E16" s="160">
        <v>277.72439133671264</v>
      </c>
      <c r="F16" s="160">
        <f t="shared" si="0"/>
        <v>3165.8051040854743</v>
      </c>
      <c r="G16" s="159">
        <f t="shared" si="1"/>
        <v>0.1874547457265251</v>
      </c>
    </row>
    <row r="17" spans="1:7" x14ac:dyDescent="0.2">
      <c r="A17" s="153" t="s">
        <v>103</v>
      </c>
      <c r="B17" s="161">
        <v>2028682.33225</v>
      </c>
      <c r="C17" s="161">
        <v>181452.55301417806</v>
      </c>
      <c r="D17" s="165">
        <v>1729.4701589844231</v>
      </c>
      <c r="E17" s="165">
        <v>154.68995353329055</v>
      </c>
      <c r="F17" s="165">
        <f t="shared" si="0"/>
        <v>1884.1601125177135</v>
      </c>
      <c r="G17" s="64">
        <f t="shared" si="1"/>
        <v>0.1115655396297993</v>
      </c>
    </row>
    <row r="18" spans="1:7" x14ac:dyDescent="0.2">
      <c r="A18" s="153" t="s">
        <v>105</v>
      </c>
      <c r="B18" s="161">
        <v>1099336.6322600001</v>
      </c>
      <c r="C18" s="161">
        <v>121125.14896294315</v>
      </c>
      <c r="D18" s="165">
        <v>937.1944882387844</v>
      </c>
      <c r="E18" s="165">
        <v>103.26029231083091</v>
      </c>
      <c r="F18" s="165">
        <f t="shared" si="0"/>
        <v>1040.4547805496154</v>
      </c>
      <c r="G18" s="64">
        <f t="shared" si="1"/>
        <v>6.1607767981730358E-2</v>
      </c>
    </row>
    <row r="19" spans="1:7" x14ac:dyDescent="0.2">
      <c r="A19" s="153" t="s">
        <v>107</v>
      </c>
      <c r="B19" s="161">
        <v>154468.14617000002</v>
      </c>
      <c r="C19" s="161">
        <v>23195.230855973376</v>
      </c>
      <c r="D19" s="165">
        <v>131.68550101107581</v>
      </c>
      <c r="E19" s="165">
        <v>19.774145492591163</v>
      </c>
      <c r="F19" s="165">
        <f t="shared" si="0"/>
        <v>151.45964650366699</v>
      </c>
      <c r="G19" s="64">
        <f t="shared" si="1"/>
        <v>8.9682809237165567E-3</v>
      </c>
    </row>
    <row r="20" spans="1:7" x14ac:dyDescent="0.2">
      <c r="A20" s="153" t="s">
        <v>109</v>
      </c>
      <c r="B20" s="161">
        <v>105254.67001</v>
      </c>
      <c r="C20" s="161">
        <v>5223.2590294667898</v>
      </c>
      <c r="D20" s="165">
        <v>89.730564505953922</v>
      </c>
      <c r="E20" s="165">
        <v>4.4528758793348304</v>
      </c>
      <c r="F20" s="165">
        <f t="shared" si="0"/>
        <v>94.183440385288748</v>
      </c>
      <c r="G20" s="64">
        <f t="shared" si="1"/>
        <v>5.5768224159755356E-3</v>
      </c>
    </row>
    <row r="21" spans="1:7" x14ac:dyDescent="0.2">
      <c r="A21" s="157" t="s">
        <v>111</v>
      </c>
      <c r="B21" s="158">
        <v>568088.65910000005</v>
      </c>
      <c r="C21" s="158">
        <v>1200606.9333134566</v>
      </c>
      <c r="D21" s="160">
        <v>484.30075421480501</v>
      </c>
      <c r="E21" s="160">
        <v>1023.5283419324135</v>
      </c>
      <c r="F21" s="160">
        <f t="shared" si="0"/>
        <v>1507.8290961472185</v>
      </c>
      <c r="G21" s="159">
        <f t="shared" si="1"/>
        <v>8.9282097452105719E-2</v>
      </c>
    </row>
    <row r="22" spans="1:7" x14ac:dyDescent="0.2">
      <c r="A22" s="153" t="s">
        <v>113</v>
      </c>
      <c r="B22" s="161">
        <v>59587.911979999997</v>
      </c>
      <c r="C22" s="161">
        <v>199845.35613689761</v>
      </c>
      <c r="D22" s="165">
        <v>50.799237498806484</v>
      </c>
      <c r="E22" s="165">
        <v>170.36998565815205</v>
      </c>
      <c r="F22" s="165">
        <f t="shared" si="0"/>
        <v>221.16922315695854</v>
      </c>
      <c r="G22" s="64">
        <f t="shared" si="1"/>
        <v>1.3095948463762847E-2</v>
      </c>
    </row>
    <row r="23" spans="1:7" x14ac:dyDescent="0.2">
      <c r="A23" s="153" t="s">
        <v>115</v>
      </c>
      <c r="B23" s="161">
        <v>43374.364220000003</v>
      </c>
      <c r="C23" s="161">
        <v>276659.44508682867</v>
      </c>
      <c r="D23" s="165">
        <v>36.977040412341609</v>
      </c>
      <c r="E23" s="165">
        <v>235.85469586467326</v>
      </c>
      <c r="F23" s="165">
        <f t="shared" si="0"/>
        <v>272.8317362770149</v>
      </c>
      <c r="G23" s="64">
        <f t="shared" si="1"/>
        <v>1.61550070419475E-2</v>
      </c>
    </row>
    <row r="24" spans="1:7" x14ac:dyDescent="0.2">
      <c r="A24" s="153" t="s">
        <v>117</v>
      </c>
      <c r="B24" s="161">
        <v>78977.007700000016</v>
      </c>
      <c r="C24" s="161">
        <v>54955.616328987082</v>
      </c>
      <c r="D24" s="165">
        <v>67.32861813389168</v>
      </c>
      <c r="E24" s="165">
        <v>46.850163280205315</v>
      </c>
      <c r="F24" s="165">
        <f t="shared" si="0"/>
        <v>114.17878141409699</v>
      </c>
      <c r="G24" s="64">
        <f t="shared" si="1"/>
        <v>6.7607934581073838E-3</v>
      </c>
    </row>
    <row r="25" spans="1:7" x14ac:dyDescent="0.2">
      <c r="A25" s="153" t="s">
        <v>119</v>
      </c>
      <c r="B25" s="161">
        <v>178429.42272</v>
      </c>
      <c r="C25" s="161">
        <v>64808.019616796475</v>
      </c>
      <c r="D25" s="165">
        <v>152.11270743251538</v>
      </c>
      <c r="E25" s="165">
        <v>55.249426787197081</v>
      </c>
      <c r="F25" s="165">
        <f t="shared" si="0"/>
        <v>207.36213421971246</v>
      </c>
      <c r="G25" s="64">
        <f t="shared" si="1"/>
        <v>1.2278398342747849E-2</v>
      </c>
    </row>
    <row r="26" spans="1:7" x14ac:dyDescent="0.2">
      <c r="A26" s="153" t="s">
        <v>121</v>
      </c>
      <c r="B26" s="161">
        <v>134572.25927000001</v>
      </c>
      <c r="C26" s="161">
        <v>271312.41214671097</v>
      </c>
      <c r="D26" s="165">
        <v>114.72407628080968</v>
      </c>
      <c r="E26" s="165">
        <v>231.29630159957222</v>
      </c>
      <c r="F26" s="165">
        <f t="shared" si="0"/>
        <v>346.02037788038189</v>
      </c>
      <c r="G26" s="64">
        <f t="shared" si="1"/>
        <v>2.0488678177964001E-2</v>
      </c>
    </row>
    <row r="27" spans="1:7" x14ac:dyDescent="0.2">
      <c r="A27" s="153" t="s">
        <v>223</v>
      </c>
      <c r="B27" s="161">
        <v>64411.774819999999</v>
      </c>
      <c r="C27" s="161">
        <v>305597.78539700247</v>
      </c>
      <c r="D27" s="165">
        <v>54.911624490199557</v>
      </c>
      <c r="E27" s="165">
        <v>260.52489445681744</v>
      </c>
      <c r="F27" s="165">
        <f t="shared" si="0"/>
        <v>315.43651894701702</v>
      </c>
      <c r="G27" s="64">
        <f t="shared" si="1"/>
        <v>1.8677736154940769E-2</v>
      </c>
    </row>
    <row r="28" spans="1:7" x14ac:dyDescent="0.2">
      <c r="A28" s="153" t="s">
        <v>125</v>
      </c>
      <c r="B28" s="161">
        <v>8735.9183599999997</v>
      </c>
      <c r="C28" s="161">
        <v>27428.298600233193</v>
      </c>
      <c r="D28" s="162">
        <v>7.4474499406653658</v>
      </c>
      <c r="E28" s="162">
        <v>23.38287428579617</v>
      </c>
      <c r="F28" s="162">
        <f t="shared" si="0"/>
        <v>30.830324226461535</v>
      </c>
      <c r="G28" s="64">
        <f t="shared" si="1"/>
        <v>1.8255358111209984E-3</v>
      </c>
    </row>
    <row r="29" spans="1:7" x14ac:dyDescent="0.2">
      <c r="A29" s="157" t="s">
        <v>127</v>
      </c>
      <c r="B29" s="158">
        <v>605047.03857999993</v>
      </c>
      <c r="C29" s="158">
        <v>1501946.8961840689</v>
      </c>
      <c r="D29" s="160">
        <v>515.80810922005639</v>
      </c>
      <c r="E29" s="160">
        <v>1280.4234039188727</v>
      </c>
      <c r="F29" s="160">
        <f t="shared" si="0"/>
        <v>1796.2315131389291</v>
      </c>
      <c r="G29" s="159">
        <f t="shared" si="1"/>
        <v>0.10635908102078112</v>
      </c>
    </row>
    <row r="30" spans="1:7" x14ac:dyDescent="0.2">
      <c r="A30" s="153" t="s">
        <v>129</v>
      </c>
      <c r="B30" s="161">
        <v>70092.436870000005</v>
      </c>
      <c r="C30" s="161">
        <v>18615.596161891121</v>
      </c>
      <c r="D30" s="165">
        <v>59.754440609100712</v>
      </c>
      <c r="E30" s="165">
        <v>15.869965219240719</v>
      </c>
      <c r="F30" s="165">
        <f t="shared" si="0"/>
        <v>75.624405828341423</v>
      </c>
      <c r="G30" s="64">
        <f t="shared" si="1"/>
        <v>4.4778984489528256E-3</v>
      </c>
    </row>
    <row r="31" spans="1:7" x14ac:dyDescent="0.2">
      <c r="A31" s="153" t="s">
        <v>131</v>
      </c>
      <c r="B31" s="161">
        <v>320944.08554</v>
      </c>
      <c r="C31" s="161">
        <v>1035096.4599911107</v>
      </c>
      <c r="D31" s="165">
        <v>273.607755053674</v>
      </c>
      <c r="E31" s="165">
        <v>882.42915648581311</v>
      </c>
      <c r="F31" s="165">
        <f t="shared" si="0"/>
        <v>1156.0369115394872</v>
      </c>
      <c r="G31" s="64">
        <f t="shared" si="1"/>
        <v>6.8451657059827989E-2</v>
      </c>
    </row>
    <row r="32" spans="1:7" x14ac:dyDescent="0.2">
      <c r="A32" s="153" t="s">
        <v>133</v>
      </c>
      <c r="B32" s="161">
        <v>210784.86904000002</v>
      </c>
      <c r="C32" s="161">
        <v>38716.479251592697</v>
      </c>
      <c r="D32" s="165">
        <v>179.69602001009372</v>
      </c>
      <c r="E32" s="165">
        <v>33.006151067676178</v>
      </c>
      <c r="F32" s="165">
        <f t="shared" si="0"/>
        <v>212.70217107776989</v>
      </c>
      <c r="G32" s="64">
        <f t="shared" si="1"/>
        <v>1.2594594450368502E-2</v>
      </c>
    </row>
    <row r="33" spans="1:7 1025:1025" x14ac:dyDescent="0.2">
      <c r="A33" s="153" t="s">
        <v>135</v>
      </c>
      <c r="B33" s="161">
        <v>3225.6471299999976</v>
      </c>
      <c r="C33" s="161">
        <v>409518.36077947443</v>
      </c>
      <c r="D33" s="165">
        <v>2.7498935471880821</v>
      </c>
      <c r="E33" s="165">
        <v>349.11813114614262</v>
      </c>
      <c r="F33" s="165">
        <f t="shared" ref="F33" si="2">D33+E33</f>
        <v>351.86802469333071</v>
      </c>
      <c r="G33" s="64">
        <f t="shared" si="1"/>
        <v>2.0834931061631805E-2</v>
      </c>
    </row>
    <row r="34" spans="1:7 1025:1025" x14ac:dyDescent="0.2">
      <c r="A34" s="236" t="s">
        <v>156</v>
      </c>
      <c r="B34" s="236"/>
      <c r="C34" s="236"/>
      <c r="D34" s="236"/>
      <c r="E34" s="236"/>
      <c r="F34" s="236"/>
      <c r="G34" s="236"/>
    </row>
    <row r="35" spans="1:7 1025:1025" x14ac:dyDescent="0.2">
      <c r="A35" s="269"/>
      <c r="B35" s="269"/>
      <c r="C35" s="269"/>
      <c r="D35" s="269"/>
      <c r="E35" s="269"/>
      <c r="F35" s="269"/>
      <c r="G35" s="269"/>
    </row>
    <row r="36" spans="1:7 1025:1025" x14ac:dyDescent="0.2">
      <c r="AMK36"/>
    </row>
  </sheetData>
  <mergeCells count="3">
    <mergeCell ref="A1:G1"/>
    <mergeCell ref="A34:G34"/>
    <mergeCell ref="A35:G35"/>
  </mergeCells>
  <pageMargins left="0.55138888888888904" right="0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AMJ24"/>
  <sheetViews>
    <sheetView zoomScaleNormal="100" workbookViewId="0">
      <selection activeCell="B2" sqref="B2:E2"/>
    </sheetView>
  </sheetViews>
  <sheetFormatPr baseColWidth="10" defaultColWidth="9.140625" defaultRowHeight="12.75" x14ac:dyDescent="0.2"/>
  <cols>
    <col min="1" max="1" width="16.7109375" style="1"/>
    <col min="2" max="4" width="11" style="1"/>
    <col min="5" max="5" width="10.28515625" style="1"/>
    <col min="6" max="1024" width="11" style="1"/>
  </cols>
  <sheetData>
    <row r="1" spans="1:1024" ht="24" customHeight="1" x14ac:dyDescent="0.2">
      <c r="A1" s="253" t="s">
        <v>304</v>
      </c>
      <c r="B1" s="253"/>
      <c r="C1" s="253"/>
      <c r="D1" s="253"/>
      <c r="E1" s="253"/>
      <c r="AMD1"/>
      <c r="AME1"/>
      <c r="AMF1"/>
      <c r="AMG1"/>
      <c r="AMH1"/>
      <c r="AMI1"/>
      <c r="AMJ1"/>
    </row>
    <row r="2" spans="1:1024" ht="22.5" x14ac:dyDescent="0.2">
      <c r="A2" s="118"/>
      <c r="B2" s="197" t="s">
        <v>145</v>
      </c>
      <c r="C2" s="197" t="s">
        <v>146</v>
      </c>
      <c r="D2" s="197" t="s">
        <v>147</v>
      </c>
      <c r="E2" s="197" t="s">
        <v>48</v>
      </c>
      <c r="AMD2"/>
      <c r="AME2"/>
      <c r="AMF2"/>
      <c r="AMG2"/>
      <c r="AMH2"/>
      <c r="AMI2"/>
      <c r="AMJ2"/>
    </row>
    <row r="3" spans="1:1024" x14ac:dyDescent="0.2">
      <c r="A3" s="118" t="s">
        <v>31</v>
      </c>
      <c r="B3" s="166">
        <v>0.47160320882115603</v>
      </c>
      <c r="C3" s="166">
        <v>0.46648112582180562</v>
      </c>
      <c r="D3" s="166">
        <v>6.1915665357038449E-2</v>
      </c>
      <c r="E3" s="166">
        <v>1.0000000000000002</v>
      </c>
      <c r="AMD3"/>
      <c r="AME3"/>
      <c r="AMF3"/>
      <c r="AMG3"/>
      <c r="AMH3"/>
      <c r="AMI3"/>
      <c r="AMJ3"/>
    </row>
    <row r="4" spans="1:1024" x14ac:dyDescent="0.2">
      <c r="A4" s="118" t="s">
        <v>32</v>
      </c>
      <c r="B4" s="166">
        <v>0.52884131585990679</v>
      </c>
      <c r="C4" s="166">
        <v>0.42005911202167762</v>
      </c>
      <c r="D4" s="166">
        <v>5.1099572118415697E-2</v>
      </c>
      <c r="E4" s="166">
        <v>1.0000000000000002</v>
      </c>
      <c r="AMD4"/>
      <c r="AME4"/>
      <c r="AMF4"/>
      <c r="AMG4"/>
      <c r="AMH4"/>
      <c r="AMI4"/>
      <c r="AMJ4"/>
    </row>
    <row r="5" spans="1:1024" x14ac:dyDescent="0.2">
      <c r="A5" s="118" t="s">
        <v>33</v>
      </c>
      <c r="B5" s="166">
        <v>0.53056653947458243</v>
      </c>
      <c r="C5" s="166">
        <v>0.41857894034642107</v>
      </c>
      <c r="D5" s="166">
        <v>5.0854520178996533E-2</v>
      </c>
      <c r="E5" s="166">
        <v>1</v>
      </c>
      <c r="AMD5"/>
      <c r="AME5"/>
      <c r="AMF5"/>
      <c r="AMG5"/>
      <c r="AMH5"/>
      <c r="AMI5"/>
      <c r="AMJ5"/>
    </row>
    <row r="6" spans="1:1024" x14ac:dyDescent="0.2">
      <c r="A6" s="121" t="s">
        <v>136</v>
      </c>
      <c r="B6" s="167">
        <v>0.47277772168384735</v>
      </c>
      <c r="C6" s="167">
        <v>0.47497525362351889</v>
      </c>
      <c r="D6" s="167">
        <v>5.224702469263387E-2</v>
      </c>
      <c r="E6" s="167">
        <v>1</v>
      </c>
      <c r="AMD6"/>
      <c r="AME6"/>
      <c r="AMF6"/>
      <c r="AMG6"/>
      <c r="AMH6"/>
      <c r="AMI6"/>
      <c r="AMJ6"/>
    </row>
    <row r="7" spans="1:1024" x14ac:dyDescent="0.2">
      <c r="A7" s="118" t="s">
        <v>148</v>
      </c>
      <c r="B7" s="166">
        <v>0.59070415166249535</v>
      </c>
      <c r="C7" s="166">
        <v>0.32480846395271884</v>
      </c>
      <c r="D7" s="166">
        <v>8.4487384384785702E-2</v>
      </c>
      <c r="E7" s="166">
        <v>1</v>
      </c>
      <c r="AMD7"/>
      <c r="AME7"/>
      <c r="AMF7"/>
      <c r="AMG7"/>
      <c r="AMH7"/>
      <c r="AMI7"/>
      <c r="AMJ7"/>
    </row>
    <row r="8" spans="1:1024" x14ac:dyDescent="0.2">
      <c r="A8" s="118" t="s">
        <v>36</v>
      </c>
      <c r="B8" s="166">
        <v>0.48687481224717244</v>
      </c>
      <c r="C8" s="166">
        <v>0.43349649767974885</v>
      </c>
      <c r="D8" s="166">
        <v>7.9628690073078698E-2</v>
      </c>
      <c r="E8" s="166">
        <v>1</v>
      </c>
      <c r="AMD8"/>
      <c r="AME8"/>
      <c r="AMF8"/>
      <c r="AMG8"/>
      <c r="AMH8"/>
      <c r="AMI8"/>
      <c r="AMJ8"/>
    </row>
    <row r="9" spans="1:1024" x14ac:dyDescent="0.2">
      <c r="A9" s="118" t="s">
        <v>38</v>
      </c>
      <c r="B9" s="166">
        <v>0.48913109350402612</v>
      </c>
      <c r="C9" s="166">
        <v>0.44922827482363459</v>
      </c>
      <c r="D9" s="166">
        <v>6.1640631672339206E-2</v>
      </c>
      <c r="E9" s="166">
        <v>1</v>
      </c>
      <c r="AMD9"/>
      <c r="AME9"/>
      <c r="AMF9"/>
      <c r="AMG9"/>
      <c r="AMH9"/>
      <c r="AMI9"/>
      <c r="AMJ9"/>
    </row>
    <row r="10" spans="1:1024" x14ac:dyDescent="0.2">
      <c r="A10" s="118" t="s">
        <v>37</v>
      </c>
      <c r="B10" s="166">
        <v>0.46247136687764323</v>
      </c>
      <c r="C10" s="166">
        <v>0.46547891634979455</v>
      </c>
      <c r="D10" s="166">
        <v>7.2049716772562097E-2</v>
      </c>
      <c r="E10" s="166">
        <v>0.99999999999999989</v>
      </c>
      <c r="AMD10"/>
      <c r="AME10"/>
      <c r="AMF10"/>
      <c r="AMG10"/>
      <c r="AMH10"/>
      <c r="AMI10"/>
      <c r="AMJ10"/>
    </row>
    <row r="11" spans="1:1024" x14ac:dyDescent="0.2">
      <c r="A11" s="118" t="s">
        <v>39</v>
      </c>
      <c r="B11" s="166">
        <v>0.57504391950863998</v>
      </c>
      <c r="C11" s="166">
        <v>0.37334298575182878</v>
      </c>
      <c r="D11" s="166">
        <v>5.1613094739531143E-2</v>
      </c>
      <c r="E11" s="166">
        <v>0.99999999999999989</v>
      </c>
      <c r="AMD11"/>
      <c r="AME11"/>
      <c r="AMF11"/>
      <c r="AMG11"/>
      <c r="AMH11"/>
      <c r="AMI11"/>
      <c r="AMJ11"/>
    </row>
    <row r="12" spans="1:1024" x14ac:dyDescent="0.2">
      <c r="A12" s="118" t="s">
        <v>47</v>
      </c>
      <c r="B12" s="166">
        <v>0.49312665301176223</v>
      </c>
      <c r="C12" s="166">
        <v>0.43446412243836996</v>
      </c>
      <c r="D12" s="166">
        <v>7.2409224549867798E-2</v>
      </c>
      <c r="E12" s="166">
        <v>1</v>
      </c>
      <c r="AMD12"/>
      <c r="AME12"/>
      <c r="AMF12"/>
      <c r="AMG12"/>
      <c r="AMH12"/>
      <c r="AMI12"/>
      <c r="AMJ12"/>
    </row>
    <row r="13" spans="1:1024" x14ac:dyDescent="0.2">
      <c r="A13" s="118" t="s">
        <v>40</v>
      </c>
      <c r="B13" s="166">
        <v>0.45843750847151665</v>
      </c>
      <c r="C13" s="166">
        <v>0.47079272719576043</v>
      </c>
      <c r="D13" s="166">
        <v>7.0769764332722931E-2</v>
      </c>
      <c r="E13" s="166">
        <v>1</v>
      </c>
      <c r="AMD13"/>
      <c r="AME13"/>
      <c r="AMF13"/>
      <c r="AMG13"/>
      <c r="AMH13"/>
      <c r="AMI13"/>
      <c r="AMJ13"/>
    </row>
    <row r="14" spans="1:1024" x14ac:dyDescent="0.2">
      <c r="A14" s="118" t="s">
        <v>41</v>
      </c>
      <c r="B14" s="166">
        <v>0.51228745378678353</v>
      </c>
      <c r="C14" s="166">
        <v>0.43596469779456049</v>
      </c>
      <c r="D14" s="166">
        <v>5.1747848418655928E-2</v>
      </c>
      <c r="E14" s="166">
        <v>1</v>
      </c>
      <c r="AMD14"/>
      <c r="AME14"/>
      <c r="AMF14"/>
      <c r="AMG14"/>
      <c r="AMH14"/>
      <c r="AMI14"/>
      <c r="AMJ14"/>
    </row>
    <row r="15" spans="1:1024" x14ac:dyDescent="0.2">
      <c r="A15" s="118" t="s">
        <v>43</v>
      </c>
      <c r="B15" s="166">
        <v>0.62377953477039438</v>
      </c>
      <c r="C15" s="166">
        <v>0.33909764792247338</v>
      </c>
      <c r="D15" s="166">
        <v>3.7122817307132149E-2</v>
      </c>
      <c r="E15" s="166">
        <v>0.99999999999999989</v>
      </c>
      <c r="AMD15"/>
      <c r="AME15"/>
      <c r="AMF15"/>
      <c r="AMG15"/>
      <c r="AMH15"/>
      <c r="AMI15"/>
      <c r="AMJ15"/>
    </row>
    <row r="16" spans="1:1024" x14ac:dyDescent="0.2">
      <c r="A16" s="118" t="s">
        <v>44</v>
      </c>
      <c r="B16" s="166">
        <v>0.4787606506956536</v>
      </c>
      <c r="C16" s="166">
        <v>0.46919472847958982</v>
      </c>
      <c r="D16" s="166">
        <v>5.2044620824756575E-2</v>
      </c>
      <c r="E16" s="166">
        <v>1</v>
      </c>
      <c r="AMD16"/>
      <c r="AME16"/>
      <c r="AMF16"/>
      <c r="AMG16"/>
      <c r="AMH16"/>
      <c r="AMI16"/>
      <c r="AMJ16"/>
    </row>
    <row r="17" spans="1:1024" x14ac:dyDescent="0.2">
      <c r="A17" s="118" t="s">
        <v>45</v>
      </c>
      <c r="B17" s="166">
        <v>0.69854828347697218</v>
      </c>
      <c r="C17" s="166">
        <v>0.22967891089993742</v>
      </c>
      <c r="D17" s="166">
        <v>7.1772805623090297E-2</v>
      </c>
      <c r="E17" s="166">
        <v>0.99999999999999989</v>
      </c>
      <c r="AMD17"/>
      <c r="AME17"/>
      <c r="AMF17"/>
      <c r="AMG17"/>
      <c r="AMH17"/>
      <c r="AMI17"/>
      <c r="AMJ17"/>
    </row>
    <row r="18" spans="1:1024" x14ac:dyDescent="0.2">
      <c r="A18" s="118" t="s">
        <v>46</v>
      </c>
      <c r="B18" s="166">
        <v>0.53444671411244082</v>
      </c>
      <c r="C18" s="166">
        <v>0.41868000441260594</v>
      </c>
      <c r="D18" s="166">
        <v>4.6873281474953322E-2</v>
      </c>
      <c r="E18" s="166">
        <v>1</v>
      </c>
      <c r="AMD18"/>
      <c r="AME18"/>
      <c r="AMF18"/>
      <c r="AMG18"/>
      <c r="AMH18"/>
      <c r="AMI18"/>
      <c r="AMJ18"/>
    </row>
    <row r="19" spans="1:1024" x14ac:dyDescent="0.2">
      <c r="A19" s="118" t="s">
        <v>42</v>
      </c>
      <c r="B19" s="166">
        <v>0.54484035236282713</v>
      </c>
      <c r="C19" s="166">
        <v>0.39065389896651243</v>
      </c>
      <c r="D19" s="166">
        <v>6.4505748670660557E-2</v>
      </c>
      <c r="E19" s="166">
        <v>1.0000000000000002</v>
      </c>
      <c r="AMD19"/>
      <c r="AME19"/>
      <c r="AMF19"/>
      <c r="AMG19"/>
      <c r="AMH19"/>
      <c r="AMI19"/>
      <c r="AMJ19"/>
    </row>
    <row r="20" spans="1:1024" x14ac:dyDescent="0.2">
      <c r="A20" s="118" t="s">
        <v>149</v>
      </c>
      <c r="B20" s="166">
        <v>0.2420400719783378</v>
      </c>
      <c r="C20" s="166">
        <v>0.6416098580653028</v>
      </c>
      <c r="D20" s="166">
        <v>0.11635006995635941</v>
      </c>
      <c r="E20" s="166">
        <v>1</v>
      </c>
      <c r="AMD20"/>
      <c r="AME20"/>
      <c r="AMF20"/>
      <c r="AMG20"/>
      <c r="AMH20"/>
      <c r="AMI20"/>
      <c r="AMJ20"/>
    </row>
    <row r="21" spans="1:1024" x14ac:dyDescent="0.2">
      <c r="A21" s="118" t="s">
        <v>150</v>
      </c>
      <c r="B21" s="166">
        <v>0.26690625649172089</v>
      </c>
      <c r="C21" s="166">
        <v>0.5401808305969048</v>
      </c>
      <c r="D21" s="166">
        <v>0.19291291291137422</v>
      </c>
      <c r="E21" s="166">
        <v>1</v>
      </c>
      <c r="AMD21"/>
      <c r="AME21"/>
      <c r="AMF21"/>
      <c r="AMG21"/>
      <c r="AMH21"/>
      <c r="AMI21"/>
      <c r="AMJ21"/>
    </row>
    <row r="22" spans="1:1024" x14ac:dyDescent="0.2">
      <c r="A22" s="121" t="s">
        <v>151</v>
      </c>
      <c r="B22" s="167">
        <v>0.53952496253866722</v>
      </c>
      <c r="C22" s="167">
        <v>0.4053802506719561</v>
      </c>
      <c r="D22" s="167">
        <v>5.5094786789376744E-2</v>
      </c>
      <c r="E22" s="167">
        <v>1</v>
      </c>
      <c r="AMD22"/>
      <c r="AME22"/>
      <c r="AMF22"/>
      <c r="AMG22"/>
      <c r="AMH22"/>
      <c r="AMI22"/>
      <c r="AMJ22"/>
    </row>
    <row r="23" spans="1:1024" x14ac:dyDescent="0.2">
      <c r="A23" s="270" t="s">
        <v>156</v>
      </c>
      <c r="B23" s="270"/>
      <c r="C23" s="270"/>
      <c r="D23" s="270"/>
      <c r="E23" s="270"/>
      <c r="AMD23"/>
      <c r="AME23"/>
      <c r="AMF23"/>
      <c r="AMG23"/>
      <c r="AMH23"/>
      <c r="AMI23"/>
      <c r="AMJ23"/>
    </row>
    <row r="24" spans="1:1024" x14ac:dyDescent="0.2">
      <c r="B24"/>
      <c r="C24"/>
      <c r="AMD24"/>
      <c r="AME24"/>
      <c r="AMF24"/>
      <c r="AMG24"/>
      <c r="AMH24"/>
      <c r="AMI24"/>
      <c r="AMJ24"/>
    </row>
  </sheetData>
  <mergeCells count="2">
    <mergeCell ref="A1:E1"/>
    <mergeCell ref="A23:E23"/>
  </mergeCells>
  <pageMargins left="0.75" right="0.75" top="1" bottom="1" header="0.51180555555555496" footer="0.51180555555555496"/>
  <pageSetup paperSize="9" firstPageNumber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AMK24"/>
  <sheetViews>
    <sheetView zoomScale="90" zoomScaleNormal="90" workbookViewId="0">
      <selection activeCell="B2" sqref="B2:E2"/>
    </sheetView>
  </sheetViews>
  <sheetFormatPr baseColWidth="10" defaultColWidth="9.140625" defaultRowHeight="12.75" x14ac:dyDescent="0.2"/>
  <cols>
    <col min="1" max="1" width="16.5703125" style="27" customWidth="1"/>
    <col min="2" max="3" width="14.5703125" style="27" customWidth="1"/>
    <col min="4" max="4" width="14.7109375" style="27" customWidth="1"/>
    <col min="5" max="5" width="12" style="27" customWidth="1"/>
    <col min="6" max="1025" width="11" style="27"/>
  </cols>
  <sheetData>
    <row r="1" spans="1:5 1025:1025" ht="24.75" customHeight="1" x14ac:dyDescent="0.2">
      <c r="A1" s="252" t="s">
        <v>387</v>
      </c>
      <c r="B1" s="252"/>
      <c r="C1" s="252"/>
      <c r="D1" s="252"/>
      <c r="E1" s="252"/>
    </row>
    <row r="2" spans="1:5 1025:1025" x14ac:dyDescent="0.2">
      <c r="A2" s="168"/>
      <c r="B2" s="198" t="s">
        <v>157</v>
      </c>
      <c r="C2" s="198" t="s">
        <v>158</v>
      </c>
      <c r="D2" s="198" t="s">
        <v>159</v>
      </c>
      <c r="E2" s="198" t="s">
        <v>48</v>
      </c>
    </row>
    <row r="3" spans="1:5 1025:1025" x14ac:dyDescent="0.2">
      <c r="A3" s="97" t="s">
        <v>31</v>
      </c>
      <c r="B3" s="169">
        <v>0.13703926852065942</v>
      </c>
      <c r="C3" s="169">
        <v>0.42503535047896757</v>
      </c>
      <c r="D3" s="169">
        <v>0.43792538100037298</v>
      </c>
      <c r="E3" s="169">
        <v>1</v>
      </c>
    </row>
    <row r="4" spans="1:5 1025:1025" x14ac:dyDescent="0.2">
      <c r="A4" s="97" t="s">
        <v>32</v>
      </c>
      <c r="B4" s="169">
        <v>0.11423705463240219</v>
      </c>
      <c r="C4" s="169">
        <v>0.42967737338840178</v>
      </c>
      <c r="D4" s="169">
        <v>0.45608557197919602</v>
      </c>
      <c r="E4" s="169">
        <v>1</v>
      </c>
      <c r="AMK4"/>
    </row>
    <row r="5" spans="1:5 1025:1025" x14ac:dyDescent="0.2">
      <c r="A5" s="97" t="s">
        <v>33</v>
      </c>
      <c r="B5" s="169">
        <v>9.8115027306203945E-2</v>
      </c>
      <c r="C5" s="169">
        <v>0.43827660608562452</v>
      </c>
      <c r="D5" s="169">
        <v>0.46360836660817156</v>
      </c>
      <c r="E5" s="169">
        <v>1</v>
      </c>
      <c r="AMK5"/>
    </row>
    <row r="6" spans="1:5 1025:1025" x14ac:dyDescent="0.2">
      <c r="A6" s="146" t="s">
        <v>136</v>
      </c>
      <c r="B6" s="170">
        <v>0.11278492316910466</v>
      </c>
      <c r="C6" s="170">
        <v>0.44831318939749321</v>
      </c>
      <c r="D6" s="170">
        <v>0.43890188743340197</v>
      </c>
      <c r="E6" s="170">
        <v>0.99999999999999989</v>
      </c>
      <c r="AMK6"/>
    </row>
    <row r="7" spans="1:5 1025:1025" x14ac:dyDescent="0.2">
      <c r="A7" s="97" t="s">
        <v>148</v>
      </c>
      <c r="B7" s="169">
        <v>0.27480565917779204</v>
      </c>
      <c r="C7" s="169">
        <v>0.38988952396256438</v>
      </c>
      <c r="D7" s="169">
        <v>0.33530481685964358</v>
      </c>
      <c r="E7" s="169">
        <v>1</v>
      </c>
      <c r="AMK7"/>
    </row>
    <row r="8" spans="1:5 1025:1025" x14ac:dyDescent="0.2">
      <c r="A8" s="97" t="s">
        <v>36</v>
      </c>
      <c r="B8" s="169">
        <v>0.10661893274783665</v>
      </c>
      <c r="C8" s="169">
        <v>0.43271813262461178</v>
      </c>
      <c r="D8" s="169">
        <v>0.46066293462755153</v>
      </c>
      <c r="E8" s="169">
        <v>1</v>
      </c>
      <c r="AMK8"/>
    </row>
    <row r="9" spans="1:5 1025:1025" x14ac:dyDescent="0.2">
      <c r="A9" s="97" t="s">
        <v>38</v>
      </c>
      <c r="B9" s="169">
        <v>0.12154016947436343</v>
      </c>
      <c r="C9" s="169">
        <v>0.43287069865443911</v>
      </c>
      <c r="D9" s="169">
        <v>0.44558913187119747</v>
      </c>
      <c r="E9" s="169">
        <v>1</v>
      </c>
      <c r="AMK9"/>
    </row>
    <row r="10" spans="1:5 1025:1025" x14ac:dyDescent="0.2">
      <c r="A10" s="97" t="s">
        <v>37</v>
      </c>
      <c r="B10" s="169">
        <v>0.13993616220779778</v>
      </c>
      <c r="C10" s="169">
        <v>0.43329342341946142</v>
      </c>
      <c r="D10" s="169">
        <v>0.42677041437274071</v>
      </c>
      <c r="E10" s="169">
        <v>1</v>
      </c>
      <c r="AMK10"/>
    </row>
    <row r="11" spans="1:5 1025:1025" x14ac:dyDescent="0.2">
      <c r="A11" s="97" t="s">
        <v>39</v>
      </c>
      <c r="B11" s="169">
        <v>0.11988208511704437</v>
      </c>
      <c r="C11" s="169">
        <v>0.42814729769179288</v>
      </c>
      <c r="D11" s="169">
        <v>0.45197061719116272</v>
      </c>
      <c r="E11" s="169">
        <v>1</v>
      </c>
      <c r="AMK11"/>
    </row>
    <row r="12" spans="1:5 1025:1025" x14ac:dyDescent="0.2">
      <c r="A12" s="97" t="s">
        <v>47</v>
      </c>
      <c r="B12" s="169">
        <v>0.11655011709030669</v>
      </c>
      <c r="C12" s="169">
        <v>0.44796051529443792</v>
      </c>
      <c r="D12" s="169">
        <v>0.43548936761525536</v>
      </c>
      <c r="E12" s="169">
        <v>1</v>
      </c>
      <c r="AMK12"/>
    </row>
    <row r="13" spans="1:5 1025:1025" x14ac:dyDescent="0.2">
      <c r="A13" s="97" t="s">
        <v>40</v>
      </c>
      <c r="B13" s="169">
        <v>0.13524882520789153</v>
      </c>
      <c r="C13" s="169">
        <v>0.43972352919341878</v>
      </c>
      <c r="D13" s="169">
        <v>0.42502764559868961</v>
      </c>
      <c r="E13" s="169">
        <v>1</v>
      </c>
      <c r="AMK13"/>
    </row>
    <row r="14" spans="1:5 1025:1025" x14ac:dyDescent="0.2">
      <c r="A14" s="97" t="s">
        <v>41</v>
      </c>
      <c r="B14" s="169">
        <v>0.10378893029815356</v>
      </c>
      <c r="C14" s="169">
        <v>0.43008608513200147</v>
      </c>
      <c r="D14" s="169">
        <v>0.46612498456984502</v>
      </c>
      <c r="E14" s="169">
        <v>1</v>
      </c>
    </row>
    <row r="15" spans="1:5 1025:1025" x14ac:dyDescent="0.2">
      <c r="A15" s="97" t="s">
        <v>43</v>
      </c>
      <c r="B15" s="169">
        <v>9.401965600824784E-2</v>
      </c>
      <c r="C15" s="169">
        <v>0.40489334259744014</v>
      </c>
      <c r="D15" s="169">
        <v>0.50108700139431195</v>
      </c>
      <c r="E15" s="169">
        <v>1</v>
      </c>
    </row>
    <row r="16" spans="1:5 1025:1025" x14ac:dyDescent="0.2">
      <c r="A16" s="97" t="s">
        <v>44</v>
      </c>
      <c r="B16" s="169">
        <v>0.1248665015547567</v>
      </c>
      <c r="C16" s="169">
        <v>0.43781417703602116</v>
      </c>
      <c r="D16" s="169">
        <v>0.43731932140922214</v>
      </c>
      <c r="E16" s="169">
        <v>1</v>
      </c>
    </row>
    <row r="17" spans="1:5" x14ac:dyDescent="0.2">
      <c r="A17" s="97" t="s">
        <v>45</v>
      </c>
      <c r="B17" s="169">
        <v>0.10692785635242627</v>
      </c>
      <c r="C17" s="169">
        <v>1.1945041241019825</v>
      </c>
      <c r="D17" s="169">
        <v>-0.30143198045440883</v>
      </c>
      <c r="E17" s="169">
        <v>1</v>
      </c>
    </row>
    <row r="18" spans="1:5" x14ac:dyDescent="0.2">
      <c r="A18" s="97" t="s">
        <v>46</v>
      </c>
      <c r="B18" s="169">
        <v>0.91077330213024477</v>
      </c>
      <c r="C18" s="169">
        <v>5.5978814017270959E-3</v>
      </c>
      <c r="D18" s="169">
        <v>8.3628816468028097E-2</v>
      </c>
      <c r="E18" s="169">
        <v>1</v>
      </c>
    </row>
    <row r="19" spans="1:5" x14ac:dyDescent="0.2">
      <c r="A19" s="97" t="s">
        <v>42</v>
      </c>
      <c r="B19" s="169">
        <v>0.12855258886240076</v>
      </c>
      <c r="C19" s="169">
        <v>0.40836680170707257</v>
      </c>
      <c r="D19" s="169">
        <v>0.46308060943052665</v>
      </c>
      <c r="E19" s="169">
        <v>1</v>
      </c>
    </row>
    <row r="20" spans="1:5" x14ac:dyDescent="0.2">
      <c r="A20" s="97" t="s">
        <v>149</v>
      </c>
      <c r="B20" s="169">
        <v>0.73307233489547907</v>
      </c>
      <c r="C20" s="169">
        <v>0</v>
      </c>
      <c r="D20" s="169">
        <v>0.26692766510452098</v>
      </c>
      <c r="E20" s="169">
        <v>1</v>
      </c>
    </row>
    <row r="21" spans="1:5" x14ac:dyDescent="0.2">
      <c r="A21" s="97" t="s">
        <v>150</v>
      </c>
      <c r="B21" s="169">
        <v>0.76327336357497211</v>
      </c>
      <c r="C21" s="169">
        <v>0</v>
      </c>
      <c r="D21" s="169">
        <v>0.23672663642502789</v>
      </c>
      <c r="E21" s="169">
        <v>1</v>
      </c>
    </row>
    <row r="22" spans="1:5" x14ac:dyDescent="0.2">
      <c r="A22" s="171" t="s">
        <v>160</v>
      </c>
      <c r="B22" s="170">
        <v>0.16659157828746052</v>
      </c>
      <c r="C22" s="170">
        <v>0.40941956540342317</v>
      </c>
      <c r="D22" s="170">
        <v>0.42398885630911637</v>
      </c>
      <c r="E22" s="170">
        <v>1</v>
      </c>
    </row>
    <row r="23" spans="1:5" x14ac:dyDescent="0.2">
      <c r="A23" s="236" t="s">
        <v>156</v>
      </c>
      <c r="B23" s="236"/>
      <c r="C23" s="236"/>
      <c r="D23" s="236"/>
      <c r="E23" s="236"/>
    </row>
    <row r="24" spans="1:5" x14ac:dyDescent="0.2">
      <c r="C24"/>
      <c r="D24"/>
    </row>
  </sheetData>
  <mergeCells count="2">
    <mergeCell ref="A1:E1"/>
    <mergeCell ref="A23:E2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K22"/>
  <sheetViews>
    <sheetView zoomScaleNormal="100" workbookViewId="0">
      <selection activeCell="B34" sqref="B34"/>
    </sheetView>
  </sheetViews>
  <sheetFormatPr baseColWidth="10" defaultColWidth="9.140625" defaultRowHeight="12.75" x14ac:dyDescent="0.2"/>
  <cols>
    <col min="1" max="1" width="35.140625" style="1"/>
    <col min="2" max="3" width="12.7109375" style="1" customWidth="1"/>
    <col min="4" max="4" width="10.140625" style="1"/>
    <col min="5" max="5" width="11.85546875" style="1" customWidth="1"/>
    <col min="6" max="7" width="9.28515625" style="1"/>
    <col min="8" max="1025" width="11" style="1"/>
  </cols>
  <sheetData>
    <row r="1" spans="1:1025" ht="14.25" customHeight="1" x14ac:dyDescent="0.2">
      <c r="A1" s="229" t="s">
        <v>319</v>
      </c>
      <c r="B1" s="229"/>
      <c r="C1" s="229"/>
      <c r="D1" s="229"/>
      <c r="E1" s="229"/>
      <c r="F1" s="229"/>
      <c r="G1" s="229"/>
      <c r="H1"/>
    </row>
    <row r="2" spans="1:1025" x14ac:dyDescent="0.2">
      <c r="A2" s="230"/>
      <c r="B2" s="231" t="s">
        <v>0</v>
      </c>
      <c r="C2" s="231"/>
      <c r="D2" s="232" t="s">
        <v>309</v>
      </c>
      <c r="E2" s="232"/>
      <c r="F2" s="233" t="s">
        <v>2</v>
      </c>
      <c r="G2" s="233"/>
      <c r="H2"/>
    </row>
    <row r="3" spans="1:1025" x14ac:dyDescent="0.2">
      <c r="A3" s="230"/>
      <c r="B3" s="186">
        <v>2020</v>
      </c>
      <c r="C3" s="186">
        <v>2021</v>
      </c>
      <c r="D3" s="187" t="s">
        <v>236</v>
      </c>
      <c r="E3" s="186" t="s">
        <v>320</v>
      </c>
      <c r="F3" s="186">
        <v>2020</v>
      </c>
      <c r="G3" s="186">
        <v>2021</v>
      </c>
      <c r="H3"/>
      <c r="AMJ3"/>
      <c r="AMK3"/>
    </row>
    <row r="4" spans="1:1025" x14ac:dyDescent="0.2">
      <c r="A4" s="84" t="s">
        <v>3</v>
      </c>
      <c r="B4" s="85">
        <v>4289093.3020000001</v>
      </c>
      <c r="C4" s="85">
        <f>C5+C11</f>
        <v>4370731.6119999997</v>
      </c>
      <c r="D4" s="85">
        <f t="shared" ref="D4:D17" si="0">C4-B4</f>
        <v>81638.30999999959</v>
      </c>
      <c r="E4" s="86">
        <f t="shared" ref="E4:E17" si="1">D4*100/B4</f>
        <v>1.9033931941264073</v>
      </c>
      <c r="F4" s="86">
        <f>B4/5893123.694*100</f>
        <v>72.78132149791594</v>
      </c>
      <c r="G4" s="86">
        <f>C4/5881521.72*100</f>
        <v>74.312938386972405</v>
      </c>
      <c r="H4"/>
      <c r="AMJ4"/>
      <c r="AMK4"/>
    </row>
    <row r="5" spans="1:1025" x14ac:dyDescent="0.2">
      <c r="A5" s="87" t="s">
        <v>4</v>
      </c>
      <c r="B5" s="88">
        <v>4133631.622</v>
      </c>
      <c r="C5" s="89">
        <f>SUM(C6:C10)</f>
        <v>4193577.9</v>
      </c>
      <c r="D5" s="90">
        <f t="shared" si="0"/>
        <v>59946.277999999933</v>
      </c>
      <c r="E5" s="91">
        <f t="shared" si="1"/>
        <v>1.4502085207824049</v>
      </c>
      <c r="F5" s="92">
        <f t="shared" ref="F5:F16" si="2">B5/5893123.694*100</f>
        <v>70.14330322318871</v>
      </c>
      <c r="G5" s="92">
        <f t="shared" ref="G5:G17" si="3">C5/5881521.72*100</f>
        <v>71.30089965900865</v>
      </c>
      <c r="H5"/>
      <c r="AMJ5"/>
      <c r="AMK5"/>
    </row>
    <row r="6" spans="1:1025" ht="11.25" customHeight="1" x14ac:dyDescent="0.2">
      <c r="A6" s="93" t="s">
        <v>321</v>
      </c>
      <c r="B6" s="88">
        <v>1676403.4</v>
      </c>
      <c r="C6" s="89">
        <v>1703085.96</v>
      </c>
      <c r="D6" s="90">
        <f t="shared" si="0"/>
        <v>26682.560000000056</v>
      </c>
      <c r="E6" s="91">
        <f t="shared" si="1"/>
        <v>1.5916550873137132</v>
      </c>
      <c r="F6" s="92">
        <f t="shared" si="2"/>
        <v>28.446770966419834</v>
      </c>
      <c r="G6" s="92">
        <f t="shared" si="3"/>
        <v>28.95655310102298</v>
      </c>
      <c r="AMJ6"/>
      <c r="AMK6"/>
    </row>
    <row r="7" spans="1:1025" ht="11.25" customHeight="1" x14ac:dyDescent="0.2">
      <c r="A7" s="93" t="s">
        <v>322</v>
      </c>
      <c r="B7" s="88">
        <v>2789219.22</v>
      </c>
      <c r="C7" s="89">
        <v>2410186.0580000002</v>
      </c>
      <c r="D7" s="90">
        <f>C7-B7</f>
        <v>-379033.16200000001</v>
      </c>
      <c r="E7" s="91">
        <f t="shared" si="1"/>
        <v>-13.58922092900249</v>
      </c>
      <c r="F7" s="92">
        <f t="shared" si="2"/>
        <v>47.330064068395579</v>
      </c>
      <c r="G7" s="92">
        <f t="shared" si="3"/>
        <v>40.978953623587067</v>
      </c>
      <c r="AMJ7"/>
      <c r="AMK7"/>
    </row>
    <row r="8" spans="1:1025" ht="11.25" customHeight="1" x14ac:dyDescent="0.2">
      <c r="A8" s="93" t="s">
        <v>323</v>
      </c>
      <c r="B8" s="88">
        <v>91335.057000000001</v>
      </c>
      <c r="C8" s="89">
        <v>79052.13</v>
      </c>
      <c r="D8" s="90">
        <f t="shared" si="0"/>
        <v>-12282.926999999996</v>
      </c>
      <c r="E8" s="91">
        <f t="shared" si="1"/>
        <v>-13.448206420892689</v>
      </c>
      <c r="F8" s="92">
        <f t="shared" si="2"/>
        <v>1.5498581353890719</v>
      </c>
      <c r="G8" s="92">
        <f t="shared" si="3"/>
        <v>1.3440761381733026</v>
      </c>
      <c r="AMJ8"/>
      <c r="AMK8"/>
    </row>
    <row r="9" spans="1:1025" ht="11.25" customHeight="1" x14ac:dyDescent="0.2">
      <c r="A9" s="93" t="s">
        <v>324</v>
      </c>
      <c r="B9" s="88">
        <v>-427553.18</v>
      </c>
      <c r="C9" s="89">
        <v>-2883.52</v>
      </c>
      <c r="D9" s="90">
        <f t="shared" si="0"/>
        <v>424669.66</v>
      </c>
      <c r="E9" s="91">
        <f>D9*100/-B9</f>
        <v>99.325576294392192</v>
      </c>
      <c r="F9" s="92">
        <f t="shared" si="2"/>
        <v>-7.2551197327710453</v>
      </c>
      <c r="G9" s="92">
        <f t="shared" si="3"/>
        <v>-4.9026767854901336E-2</v>
      </c>
      <c r="AMJ9"/>
      <c r="AMK9"/>
    </row>
    <row r="10" spans="1:1025" ht="11.25" customHeight="1" x14ac:dyDescent="0.2">
      <c r="A10" s="93" t="s">
        <v>325</v>
      </c>
      <c r="B10" s="88">
        <v>4227.125</v>
      </c>
      <c r="C10" s="89">
        <v>4137.2719999999999</v>
      </c>
      <c r="D10" s="90">
        <f t="shared" si="0"/>
        <v>-89.853000000000065</v>
      </c>
      <c r="E10" s="91">
        <f t="shared" si="1"/>
        <v>-2.125629121447794</v>
      </c>
      <c r="F10" s="92">
        <f t="shared" si="2"/>
        <v>7.1729785755282674E-2</v>
      </c>
      <c r="G10" s="92">
        <f t="shared" si="3"/>
        <v>7.0343564080215623E-2</v>
      </c>
      <c r="AMJ10"/>
      <c r="AMK10"/>
    </row>
    <row r="11" spans="1:1025" x14ac:dyDescent="0.2">
      <c r="A11" s="87" t="s">
        <v>5</v>
      </c>
      <c r="B11" s="88">
        <v>155461.68</v>
      </c>
      <c r="C11" s="89">
        <f>SUM(C12:C13)</f>
        <v>177153.712</v>
      </c>
      <c r="D11" s="90">
        <f t="shared" si="0"/>
        <v>21692.032000000007</v>
      </c>
      <c r="E11" s="91">
        <f t="shared" si="1"/>
        <v>13.95329833049534</v>
      </c>
      <c r="F11" s="92">
        <f t="shared" si="2"/>
        <v>2.6380182747272229</v>
      </c>
      <c r="G11" s="92">
        <f t="shared" si="3"/>
        <v>3.0120387279637559</v>
      </c>
      <c r="AMJ11"/>
      <c r="AMK11"/>
    </row>
    <row r="12" spans="1:1025" x14ac:dyDescent="0.2">
      <c r="A12" s="93" t="s">
        <v>326</v>
      </c>
      <c r="B12" s="88">
        <v>200</v>
      </c>
      <c r="C12" s="89">
        <v>0</v>
      </c>
      <c r="D12" s="90">
        <f t="shared" si="0"/>
        <v>-200</v>
      </c>
      <c r="E12" s="91">
        <f t="shared" si="1"/>
        <v>-100</v>
      </c>
      <c r="F12" s="92">
        <f t="shared" si="2"/>
        <v>3.3937858830899331E-3</v>
      </c>
      <c r="G12" s="92">
        <f t="shared" si="3"/>
        <v>0</v>
      </c>
      <c r="AMJ12"/>
      <c r="AMK12"/>
    </row>
    <row r="13" spans="1:1025" x14ac:dyDescent="0.2">
      <c r="A13" s="93" t="s">
        <v>327</v>
      </c>
      <c r="B13" s="88">
        <v>155261.68</v>
      </c>
      <c r="C13" s="89">
        <v>177153.712</v>
      </c>
      <c r="D13" s="90">
        <f t="shared" si="0"/>
        <v>21892.032000000007</v>
      </c>
      <c r="E13" s="91">
        <f t="shared" si="1"/>
        <v>14.100087027269064</v>
      </c>
      <c r="F13" s="92">
        <f t="shared" si="2"/>
        <v>2.6346244888441328</v>
      </c>
      <c r="G13" s="92">
        <f t="shared" si="3"/>
        <v>3.0120387279637559</v>
      </c>
      <c r="AMJ13"/>
      <c r="AMK13"/>
    </row>
    <row r="14" spans="1:1025" x14ac:dyDescent="0.2">
      <c r="A14" s="84" t="s">
        <v>6</v>
      </c>
      <c r="B14" s="85">
        <v>1604030.39</v>
      </c>
      <c r="C14" s="85">
        <f>SUM(C15:C16)</f>
        <v>1510790.1030000001</v>
      </c>
      <c r="D14" s="85">
        <f t="shared" si="0"/>
        <v>-93240.286999999778</v>
      </c>
      <c r="E14" s="86">
        <f t="shared" si="1"/>
        <v>-5.8128753408468636</v>
      </c>
      <c r="F14" s="86">
        <f t="shared" si="2"/>
        <v>27.218678468146194</v>
      </c>
      <c r="G14" s="86">
        <f t="shared" si="3"/>
        <v>25.68706152801558</v>
      </c>
      <c r="AMJ14"/>
      <c r="AMK14"/>
    </row>
    <row r="15" spans="1:1025" x14ac:dyDescent="0.2">
      <c r="A15" s="93" t="s">
        <v>328</v>
      </c>
      <c r="B15" s="88">
        <v>40630.559999999998</v>
      </c>
      <c r="C15" s="89">
        <v>30304.053</v>
      </c>
      <c r="D15" s="90">
        <f t="shared" si="0"/>
        <v>-10326.506999999998</v>
      </c>
      <c r="E15" s="91">
        <f t="shared" si="1"/>
        <v>-25.415615733575905</v>
      </c>
      <c r="F15" s="92">
        <f t="shared" si="2"/>
        <v>0.68945710475019251</v>
      </c>
      <c r="G15" s="92">
        <f t="shared" si="3"/>
        <v>0.51524170856925788</v>
      </c>
      <c r="AMJ15"/>
      <c r="AMK15"/>
    </row>
    <row r="16" spans="1:1025" x14ac:dyDescent="0.2">
      <c r="A16" s="93" t="s">
        <v>329</v>
      </c>
      <c r="B16" s="88">
        <v>1563399.83</v>
      </c>
      <c r="C16" s="89">
        <v>1480486.05</v>
      </c>
      <c r="D16" s="90">
        <f t="shared" si="0"/>
        <v>-82913.780000000028</v>
      </c>
      <c r="E16" s="91">
        <f t="shared" si="1"/>
        <v>-5.3034277226446944</v>
      </c>
      <c r="F16" s="92">
        <f t="shared" si="2"/>
        <v>26.529221363396012</v>
      </c>
      <c r="G16" s="92">
        <f t="shared" si="3"/>
        <v>25.171819819446323</v>
      </c>
      <c r="AMJ16"/>
      <c r="AMK16"/>
    </row>
    <row r="17" spans="1:1025" x14ac:dyDescent="0.2">
      <c r="A17" s="84" t="s">
        <v>7</v>
      </c>
      <c r="B17" s="85">
        <v>5893123.6919999998</v>
      </c>
      <c r="C17" s="85">
        <f>C14+C4</f>
        <v>5881521.7149999999</v>
      </c>
      <c r="D17" s="85">
        <f t="shared" si="0"/>
        <v>-11601.976999999955</v>
      </c>
      <c r="E17" s="86">
        <f t="shared" si="1"/>
        <v>-0.19687312885948424</v>
      </c>
      <c r="F17" s="86">
        <f>+F14+F4</f>
        <v>99.999999966062134</v>
      </c>
      <c r="G17" s="86">
        <f t="shared" si="3"/>
        <v>99.999999914987995</v>
      </c>
      <c r="AMJ17"/>
      <c r="AMK17"/>
    </row>
    <row r="18" spans="1:1025" x14ac:dyDescent="0.2">
      <c r="A18" s="228" t="s">
        <v>379</v>
      </c>
      <c r="B18" s="228"/>
      <c r="C18" s="228"/>
      <c r="D18" s="228"/>
      <c r="E18" s="228"/>
      <c r="F18" s="228"/>
      <c r="G18" s="228"/>
    </row>
    <row r="19" spans="1:1025" x14ac:dyDescent="0.2">
      <c r="C19" s="2"/>
      <c r="D19"/>
      <c r="E19" s="3"/>
    </row>
    <row r="20" spans="1:1025" x14ac:dyDescent="0.2">
      <c r="C20" s="4"/>
      <c r="D20"/>
      <c r="E20"/>
    </row>
    <row r="21" spans="1:1025" x14ac:dyDescent="0.2">
      <c r="C21" s="4"/>
      <c r="D21"/>
      <c r="E21"/>
    </row>
    <row r="22" spans="1:1025" x14ac:dyDescent="0.2">
      <c r="C22" s="5"/>
      <c r="D22"/>
      <c r="E22"/>
    </row>
  </sheetData>
  <mergeCells count="6">
    <mergeCell ref="A18:G18"/>
    <mergeCell ref="A1:G1"/>
    <mergeCell ref="A2:A3"/>
    <mergeCell ref="B2:C2"/>
    <mergeCell ref="D2:E2"/>
    <mergeCell ref="F2:G2"/>
  </mergeCells>
  <pageMargins left="0.75" right="0.75" top="1" bottom="1" header="0.51180555555555496" footer="0.51180555555555496"/>
  <pageSetup paperSize="9" firstPageNumber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AMK24"/>
  <sheetViews>
    <sheetView zoomScaleNormal="100" workbookViewId="0"/>
  </sheetViews>
  <sheetFormatPr baseColWidth="10" defaultColWidth="9.140625" defaultRowHeight="12.75" x14ac:dyDescent="0.2"/>
  <cols>
    <col min="1" max="1" width="23.42578125" style="1" customWidth="1"/>
    <col min="2" max="1025" width="11" style="1"/>
  </cols>
  <sheetData>
    <row r="1" spans="1:9" x14ac:dyDescent="0.2">
      <c r="A1" s="16" t="s">
        <v>371</v>
      </c>
      <c r="B1"/>
      <c r="C1"/>
      <c r="D1"/>
      <c r="E1"/>
      <c r="F1"/>
      <c r="G1"/>
    </row>
    <row r="2" spans="1:9" x14ac:dyDescent="0.2">
      <c r="A2" s="16"/>
      <c r="B2" s="1" t="s">
        <v>152</v>
      </c>
      <c r="C2"/>
      <c r="D2"/>
      <c r="E2"/>
      <c r="F2"/>
      <c r="G2"/>
      <c r="I2" s="1" t="s">
        <v>259</v>
      </c>
    </row>
    <row r="3" spans="1:9" x14ac:dyDescent="0.2">
      <c r="A3" s="1" t="s">
        <v>153</v>
      </c>
      <c r="B3" s="66">
        <v>0.11278492316910456</v>
      </c>
      <c r="C3"/>
      <c r="D3"/>
      <c r="E3"/>
      <c r="F3"/>
      <c r="G3"/>
      <c r="I3" s="66">
        <v>0.1085246545626164</v>
      </c>
    </row>
    <row r="4" spans="1:9" x14ac:dyDescent="0.2">
      <c r="A4" s="1" t="s">
        <v>154</v>
      </c>
      <c r="B4" s="66">
        <v>0.44831318939749365</v>
      </c>
      <c r="C4" s="16"/>
      <c r="D4" s="16"/>
      <c r="E4" s="16"/>
      <c r="F4" s="16"/>
      <c r="G4" s="16"/>
      <c r="I4" s="66">
        <v>0.49358095872284269</v>
      </c>
    </row>
    <row r="5" spans="1:9" x14ac:dyDescent="0.2">
      <c r="A5" s="1" t="s">
        <v>155</v>
      </c>
      <c r="B5" s="66">
        <v>0.43890188743340175</v>
      </c>
      <c r="C5"/>
      <c r="D5"/>
      <c r="E5"/>
      <c r="F5"/>
      <c r="G5"/>
      <c r="I5" s="66">
        <v>0.39789438671454092</v>
      </c>
    </row>
    <row r="6" spans="1:9" x14ac:dyDescent="0.2">
      <c r="A6" s="78" t="s">
        <v>366</v>
      </c>
      <c r="B6"/>
      <c r="C6"/>
      <c r="D6"/>
      <c r="E6"/>
      <c r="F6"/>
      <c r="G6"/>
    </row>
    <row r="7" spans="1:9" x14ac:dyDescent="0.2">
      <c r="A7"/>
      <c r="B7"/>
      <c r="C7"/>
      <c r="D7"/>
      <c r="E7"/>
      <c r="F7"/>
      <c r="G7"/>
    </row>
    <row r="8" spans="1:9" x14ac:dyDescent="0.2">
      <c r="A8"/>
      <c r="B8"/>
      <c r="C8"/>
      <c r="D8"/>
      <c r="E8"/>
      <c r="F8"/>
      <c r="G8"/>
    </row>
    <row r="9" spans="1:9" x14ac:dyDescent="0.2">
      <c r="A9"/>
      <c r="B9"/>
      <c r="C9"/>
      <c r="D9"/>
      <c r="E9"/>
      <c r="F9"/>
      <c r="G9"/>
      <c r="I9" s="67">
        <v>0.11278492316910456</v>
      </c>
    </row>
    <row r="10" spans="1:9" x14ac:dyDescent="0.2">
      <c r="A10"/>
      <c r="B10"/>
      <c r="C10"/>
      <c r="D10"/>
      <c r="E10"/>
      <c r="F10"/>
      <c r="G10"/>
      <c r="I10" s="67">
        <v>0.44831318939749365</v>
      </c>
    </row>
    <row r="11" spans="1:9" x14ac:dyDescent="0.2">
      <c r="A11"/>
      <c r="B11"/>
      <c r="C11"/>
      <c r="D11"/>
      <c r="E11"/>
      <c r="F11"/>
      <c r="G11"/>
      <c r="I11" s="67">
        <v>0.43890188743340175</v>
      </c>
    </row>
    <row r="12" spans="1:9" x14ac:dyDescent="0.2">
      <c r="A12"/>
      <c r="B12"/>
      <c r="C12"/>
      <c r="D12"/>
      <c r="E12"/>
      <c r="F12"/>
      <c r="G12"/>
      <c r="I12" s="67">
        <v>1</v>
      </c>
    </row>
    <row r="13" spans="1:9" x14ac:dyDescent="0.2">
      <c r="A13"/>
      <c r="B13"/>
      <c r="C13"/>
      <c r="D13"/>
      <c r="E13"/>
      <c r="F13"/>
      <c r="G13"/>
    </row>
    <row r="14" spans="1:9" x14ac:dyDescent="0.2">
      <c r="A14"/>
      <c r="B14"/>
      <c r="C14"/>
      <c r="D14"/>
      <c r="E14"/>
      <c r="F14"/>
      <c r="G14"/>
    </row>
    <row r="15" spans="1:9" x14ac:dyDescent="0.2">
      <c r="A15"/>
      <c r="B15"/>
      <c r="C15"/>
      <c r="D15"/>
      <c r="E15"/>
      <c r="F15"/>
      <c r="G15"/>
    </row>
    <row r="16" spans="1:9" x14ac:dyDescent="0.2">
      <c r="A16"/>
      <c r="B16"/>
      <c r="C16"/>
      <c r="D16"/>
      <c r="E16"/>
      <c r="F16"/>
      <c r="G16"/>
    </row>
    <row r="17" spans="1:7" x14ac:dyDescent="0.2">
      <c r="A17"/>
      <c r="B17"/>
      <c r="C17"/>
      <c r="D17"/>
      <c r="E17"/>
      <c r="F17"/>
      <c r="G17"/>
    </row>
    <row r="18" spans="1:7" x14ac:dyDescent="0.2">
      <c r="A18"/>
      <c r="B18"/>
      <c r="C18"/>
      <c r="D18"/>
      <c r="E18"/>
      <c r="F18"/>
      <c r="G18"/>
    </row>
    <row r="19" spans="1:7" x14ac:dyDescent="0.2">
      <c r="A19"/>
      <c r="B19"/>
      <c r="C19"/>
      <c r="D19"/>
      <c r="E19"/>
      <c r="F19"/>
      <c r="G19"/>
    </row>
    <row r="20" spans="1:7" x14ac:dyDescent="0.2">
      <c r="A20"/>
      <c r="B20"/>
      <c r="C20"/>
      <c r="D20"/>
      <c r="E20"/>
      <c r="F20"/>
      <c r="G20"/>
    </row>
    <row r="21" spans="1:7" x14ac:dyDescent="0.2">
      <c r="A21"/>
      <c r="B21"/>
      <c r="C21"/>
      <c r="D21"/>
      <c r="E21"/>
      <c r="F21"/>
      <c r="G21"/>
    </row>
    <row r="22" spans="1:7" x14ac:dyDescent="0.2">
      <c r="A22"/>
      <c r="B22"/>
      <c r="C22"/>
      <c r="D22"/>
      <c r="E22"/>
      <c r="F22"/>
      <c r="G22"/>
    </row>
    <row r="23" spans="1:7" x14ac:dyDescent="0.2">
      <c r="A23" s="270" t="s">
        <v>156</v>
      </c>
      <c r="B23" s="270"/>
      <c r="C23" s="270"/>
      <c r="D23" s="270"/>
      <c r="E23" s="270"/>
      <c r="F23" s="270"/>
      <c r="G23" s="270"/>
    </row>
    <row r="24" spans="1:7" x14ac:dyDescent="0.2">
      <c r="C24"/>
      <c r="D24"/>
      <c r="E24" s="12"/>
    </row>
  </sheetData>
  <mergeCells count="1">
    <mergeCell ref="A23:G23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AMK27"/>
  <sheetViews>
    <sheetView zoomScaleNormal="100" workbookViewId="0">
      <selection activeCell="A10" sqref="A10:G10"/>
    </sheetView>
  </sheetViews>
  <sheetFormatPr baseColWidth="10" defaultColWidth="9.140625" defaultRowHeight="12.75" x14ac:dyDescent="0.2"/>
  <cols>
    <col min="1" max="1" width="19" style="1"/>
    <col min="2" max="2" width="9.85546875" style="1"/>
    <col min="3" max="3" width="10.85546875" style="1"/>
    <col min="4" max="4" width="13" style="1"/>
    <col min="5" max="5" width="10.85546875" style="1"/>
    <col min="6" max="6" width="10.28515625" style="1"/>
    <col min="7" max="7" width="10.42578125" style="1"/>
    <col min="8" max="1025" width="11" style="1"/>
  </cols>
  <sheetData>
    <row r="1" spans="1:1025" x14ac:dyDescent="0.2">
      <c r="A1" s="246" t="s">
        <v>305</v>
      </c>
      <c r="B1" s="246"/>
      <c r="C1" s="246"/>
      <c r="D1" s="246"/>
      <c r="E1" s="246"/>
      <c r="F1" s="246"/>
      <c r="G1" s="246"/>
    </row>
    <row r="2" spans="1:1025" ht="12" customHeight="1" x14ac:dyDescent="0.2">
      <c r="A2" s="238"/>
      <c r="B2" s="271" t="s">
        <v>161</v>
      </c>
      <c r="C2" s="248" t="s">
        <v>162</v>
      </c>
      <c r="D2" s="248"/>
      <c r="E2" s="248"/>
      <c r="F2" s="248"/>
      <c r="G2" s="271" t="s">
        <v>163</v>
      </c>
    </row>
    <row r="3" spans="1:1025" x14ac:dyDescent="0.2">
      <c r="A3" s="238"/>
      <c r="B3" s="271"/>
      <c r="C3" s="188" t="s">
        <v>157</v>
      </c>
      <c r="D3" s="188" t="s">
        <v>158</v>
      </c>
      <c r="E3" s="188" t="s">
        <v>159</v>
      </c>
      <c r="F3" s="188" t="s">
        <v>48</v>
      </c>
      <c r="G3" s="271"/>
      <c r="AMJ3"/>
      <c r="AMK3"/>
    </row>
    <row r="4" spans="1:1025" x14ac:dyDescent="0.2">
      <c r="A4" s="199" t="s">
        <v>136</v>
      </c>
      <c r="B4" s="200">
        <v>24473.280000000002</v>
      </c>
      <c r="C4" s="200">
        <v>899.1319134652108</v>
      </c>
      <c r="D4" s="200">
        <v>3573.9945064313288</v>
      </c>
      <c r="E4" s="200">
        <v>3498.9667305070175</v>
      </c>
      <c r="F4" s="200">
        <v>7972.093150403558</v>
      </c>
      <c r="G4" s="201">
        <v>0.32574682063064525</v>
      </c>
      <c r="AMJ4"/>
      <c r="AMK4"/>
    </row>
    <row r="5" spans="1:1025" x14ac:dyDescent="0.2">
      <c r="A5" s="118" t="s">
        <v>33</v>
      </c>
      <c r="B5" s="107">
        <v>21994.959999999999</v>
      </c>
      <c r="C5" s="107">
        <v>594.44179086215354</v>
      </c>
      <c r="D5" s="107">
        <v>2655.3519656213925</v>
      </c>
      <c r="E5" s="107">
        <v>2808.8275086054377</v>
      </c>
      <c r="F5" s="107">
        <v>6058.6212650889838</v>
      </c>
      <c r="G5" s="172">
        <v>0.27545497991762585</v>
      </c>
      <c r="AMJ5"/>
      <c r="AMK5"/>
    </row>
    <row r="6" spans="1:1025" x14ac:dyDescent="0.2">
      <c r="A6" s="118" t="s">
        <v>36</v>
      </c>
      <c r="B6" s="107">
        <v>23001.935999999998</v>
      </c>
      <c r="C6" s="107">
        <v>665.91114686393837</v>
      </c>
      <c r="D6" s="107">
        <v>2702.6328301970716</v>
      </c>
      <c r="E6" s="107">
        <v>2877.1680151878527</v>
      </c>
      <c r="F6" s="107">
        <v>6245.7119922488628</v>
      </c>
      <c r="G6" s="172">
        <v>0.27152983958606197</v>
      </c>
      <c r="AMJ6"/>
      <c r="AMK6"/>
    </row>
    <row r="7" spans="1:1025" x14ac:dyDescent="0.2">
      <c r="A7" s="56" t="s">
        <v>47</v>
      </c>
      <c r="B7" s="107">
        <v>21831.600000000002</v>
      </c>
      <c r="C7" s="107">
        <v>672.78298355442257</v>
      </c>
      <c r="D7" s="107">
        <v>2585.842206926739</v>
      </c>
      <c r="E7" s="107">
        <v>2513.8527816613218</v>
      </c>
      <c r="F7" s="107">
        <v>5772.4779721424838</v>
      </c>
      <c r="G7" s="172">
        <v>0.26440929533989643</v>
      </c>
      <c r="AMJ7"/>
      <c r="AMK7"/>
    </row>
    <row r="8" spans="1:1025" x14ac:dyDescent="0.2">
      <c r="A8" s="56" t="s">
        <v>39</v>
      </c>
      <c r="B8" s="115">
        <v>29703.216</v>
      </c>
      <c r="C8" s="115">
        <v>925.48244411763858</v>
      </c>
      <c r="D8" s="115">
        <v>3305.2712348412965</v>
      </c>
      <c r="E8" s="115">
        <v>3489.185820041796</v>
      </c>
      <c r="F8" s="115">
        <v>7719.9394990007313</v>
      </c>
      <c r="G8" s="172">
        <v>0.25990247988637766</v>
      </c>
      <c r="AMJ8"/>
      <c r="AMK8"/>
    </row>
    <row r="9" spans="1:1025" x14ac:dyDescent="0.2">
      <c r="A9" s="118" t="s">
        <v>31</v>
      </c>
      <c r="B9" s="107">
        <v>18900.555</v>
      </c>
      <c r="C9" s="107">
        <v>657.86823975288257</v>
      </c>
      <c r="D9" s="107">
        <v>2040.4170342619282</v>
      </c>
      <c r="E9" s="107">
        <v>2102.2966821980199</v>
      </c>
      <c r="F9" s="107">
        <v>4800.5819562128308</v>
      </c>
      <c r="G9" s="172">
        <v>0.25399158681916117</v>
      </c>
      <c r="AMJ9"/>
      <c r="AMK9"/>
    </row>
    <row r="10" spans="1:1025" x14ac:dyDescent="0.2">
      <c r="A10" s="202" t="s">
        <v>372</v>
      </c>
      <c r="B10" s="203">
        <v>24901.342999999997</v>
      </c>
      <c r="C10" s="204">
        <v>1043.0473132015929</v>
      </c>
      <c r="D10" s="204">
        <v>2563.41876375841</v>
      </c>
      <c r="E10" s="204">
        <v>2654.6386194717256</v>
      </c>
      <c r="F10" s="204">
        <v>6261.1046964317284</v>
      </c>
      <c r="G10" s="205">
        <v>0.25143642639803521</v>
      </c>
      <c r="AMJ10"/>
      <c r="AMK10"/>
    </row>
    <row r="11" spans="1:1025" x14ac:dyDescent="0.2">
      <c r="A11" s="56" t="s">
        <v>43</v>
      </c>
      <c r="B11" s="68">
        <v>34291.360000000001</v>
      </c>
      <c r="C11" s="69">
        <v>806.7351795526489</v>
      </c>
      <c r="D11" s="69">
        <v>3474.1852641043861</v>
      </c>
      <c r="E11" s="69">
        <v>4299.5744635129968</v>
      </c>
      <c r="F11" s="69">
        <v>8580.4949071700321</v>
      </c>
      <c r="G11" s="71">
        <v>0.25022323136702751</v>
      </c>
      <c r="AMJ11"/>
      <c r="AMK11"/>
    </row>
    <row r="12" spans="1:1025" x14ac:dyDescent="0.2">
      <c r="A12" s="118" t="s">
        <v>38</v>
      </c>
      <c r="B12" s="70">
        <v>24093.68</v>
      </c>
      <c r="C12" s="70">
        <v>708.882550149194</v>
      </c>
      <c r="D12" s="70">
        <v>2524.7166107642065</v>
      </c>
      <c r="E12" s="70">
        <v>2598.8968214023002</v>
      </c>
      <c r="F12" s="70">
        <v>5832.4959823157005</v>
      </c>
      <c r="G12" s="72">
        <v>0.24207576353283103</v>
      </c>
      <c r="AMJ12"/>
      <c r="AMK12"/>
    </row>
    <row r="13" spans="1:1025" x14ac:dyDescent="0.2">
      <c r="A13" s="56" t="s">
        <v>37</v>
      </c>
      <c r="B13" s="115">
        <v>20182.498</v>
      </c>
      <c r="C13" s="115">
        <v>683.60519443666499</v>
      </c>
      <c r="D13" s="115">
        <v>2116.6911418146901</v>
      </c>
      <c r="E13" s="115">
        <v>2084.8254482202492</v>
      </c>
      <c r="F13" s="115">
        <v>4885.1217844716048</v>
      </c>
      <c r="G13" s="172">
        <v>0.2420474306238804</v>
      </c>
      <c r="AMJ13"/>
      <c r="AMK13"/>
    </row>
    <row r="14" spans="1:1025" x14ac:dyDescent="0.2">
      <c r="A14" s="56" t="s">
        <v>46</v>
      </c>
      <c r="B14" s="115">
        <v>32073.054999999997</v>
      </c>
      <c r="C14" s="115">
        <v>7028.3542215128946</v>
      </c>
      <c r="D14" s="115">
        <v>43.198338477131593</v>
      </c>
      <c r="E14" s="115">
        <v>645.35592324503386</v>
      </c>
      <c r="F14" s="115">
        <v>7716.90848323506</v>
      </c>
      <c r="G14" s="172">
        <v>0.24060409846318229</v>
      </c>
      <c r="AMJ14"/>
      <c r="AMK14"/>
    </row>
    <row r="15" spans="1:1025" x14ac:dyDescent="0.2">
      <c r="A15" s="56" t="s">
        <v>41</v>
      </c>
      <c r="B15" s="107">
        <v>23085.762000000002</v>
      </c>
      <c r="C15" s="107">
        <v>562.52318831671084</v>
      </c>
      <c r="D15" s="107">
        <v>2331.013482498623</v>
      </c>
      <c r="E15" s="107">
        <v>2526.3398680482555</v>
      </c>
      <c r="F15" s="107">
        <v>5419.8765388635893</v>
      </c>
      <c r="G15" s="172">
        <v>0.2347713945445504</v>
      </c>
      <c r="AMJ15"/>
      <c r="AMK15"/>
    </row>
    <row r="16" spans="1:1025" x14ac:dyDescent="0.2">
      <c r="A16" s="56" t="s">
        <v>44</v>
      </c>
      <c r="B16" s="107">
        <v>20512.492000000002</v>
      </c>
      <c r="C16" s="115">
        <v>601.0187375846732</v>
      </c>
      <c r="D16" s="115">
        <v>2107.326790632248</v>
      </c>
      <c r="E16" s="115">
        <v>2104.9449067770734</v>
      </c>
      <c r="F16" s="115">
        <v>4813.2904349939945</v>
      </c>
      <c r="G16" s="172">
        <v>0.23465166665239864</v>
      </c>
      <c r="AMJ16"/>
      <c r="AMK16"/>
    </row>
    <row r="17" spans="1:1025" x14ac:dyDescent="0.2">
      <c r="A17" s="118" t="s">
        <v>32</v>
      </c>
      <c r="B17" s="107">
        <v>27572.48</v>
      </c>
      <c r="C17" s="115">
        <v>738.58849969199116</v>
      </c>
      <c r="D17" s="115">
        <v>2778.0370177061677</v>
      </c>
      <c r="E17" s="115">
        <v>2948.7766418982164</v>
      </c>
      <c r="F17" s="115">
        <v>6465.4021592963754</v>
      </c>
      <c r="G17" s="172">
        <v>0.23448750925910095</v>
      </c>
      <c r="AMJ17"/>
      <c r="AMK17"/>
    </row>
    <row r="18" spans="1:1025" x14ac:dyDescent="0.2">
      <c r="A18" s="56" t="s">
        <v>40</v>
      </c>
      <c r="B18" s="115">
        <v>18923.234</v>
      </c>
      <c r="C18" s="115">
        <v>599.15339251213538</v>
      </c>
      <c r="D18" s="115">
        <v>1947.9788003975457</v>
      </c>
      <c r="E18" s="115">
        <v>1882.8759168921911</v>
      </c>
      <c r="F18" s="115">
        <v>4430.0081098018727</v>
      </c>
      <c r="G18" s="172">
        <v>0.23410417636868375</v>
      </c>
      <c r="AMJ18"/>
      <c r="AMK18"/>
    </row>
    <row r="19" spans="1:1025" x14ac:dyDescent="0.2">
      <c r="A19" s="118" t="s">
        <v>42</v>
      </c>
      <c r="B19" s="107">
        <v>26613.989999999998</v>
      </c>
      <c r="C19" s="107">
        <v>758.66382052933739</v>
      </c>
      <c r="D19" s="107">
        <v>2410.0107255875619</v>
      </c>
      <c r="E19" s="107">
        <v>2732.9088233272641</v>
      </c>
      <c r="F19" s="107">
        <v>5901.5833694441635</v>
      </c>
      <c r="G19" s="172">
        <v>0.22174741064545991</v>
      </c>
      <c r="AMJ19"/>
      <c r="AMK19"/>
    </row>
    <row r="20" spans="1:1025" x14ac:dyDescent="0.2">
      <c r="A20" s="118" t="s">
        <v>148</v>
      </c>
      <c r="B20" s="107">
        <v>18931.079999999998</v>
      </c>
      <c r="C20" s="107">
        <v>1032.4272136419531</v>
      </c>
      <c r="D20" s="107">
        <v>1464.7899030071644</v>
      </c>
      <c r="E20" s="107">
        <v>1259.7186638254757</v>
      </c>
      <c r="F20" s="107">
        <v>3756.9357804745932</v>
      </c>
      <c r="G20" s="172">
        <v>0.19845332545605393</v>
      </c>
      <c r="AMJ20"/>
      <c r="AMK20"/>
    </row>
    <row r="21" spans="1:1025" x14ac:dyDescent="0.2">
      <c r="A21" s="56" t="s">
        <v>45</v>
      </c>
      <c r="B21" s="115">
        <v>30750.385999999999</v>
      </c>
      <c r="C21" s="115">
        <v>526.53533911179568</v>
      </c>
      <c r="D21" s="115">
        <v>5881.9904888161964</v>
      </c>
      <c r="E21" s="115">
        <v>-1484.3147095794272</v>
      </c>
      <c r="F21" s="115">
        <v>4924.2111183485649</v>
      </c>
      <c r="G21" s="172">
        <v>0.16013493678903951</v>
      </c>
      <c r="AMJ21"/>
      <c r="AMK21"/>
    </row>
    <row r="22" spans="1:1025" x14ac:dyDescent="0.2">
      <c r="A22" s="118" t="s">
        <v>149</v>
      </c>
      <c r="B22" s="115">
        <v>20556.508999999998</v>
      </c>
      <c r="C22" s="115">
        <v>1775.0506493288792</v>
      </c>
      <c r="D22" s="115">
        <v>0</v>
      </c>
      <c r="E22" s="115">
        <v>646.33475131097009</v>
      </c>
      <c r="F22" s="115">
        <v>2421.3854006398492</v>
      </c>
      <c r="G22" s="172">
        <v>0.117791663975622</v>
      </c>
      <c r="AMJ22"/>
      <c r="AMK22"/>
    </row>
    <row r="23" spans="1:1025" x14ac:dyDescent="0.2">
      <c r="A23" s="118" t="s">
        <v>150</v>
      </c>
      <c r="B23" s="107">
        <v>18812.899999999998</v>
      </c>
      <c r="C23" s="115">
        <v>1093.3230796072387</v>
      </c>
      <c r="D23" s="115">
        <v>0</v>
      </c>
      <c r="E23" s="115">
        <v>339.09043275011692</v>
      </c>
      <c r="F23" s="115">
        <v>1432.4135123573556</v>
      </c>
      <c r="G23" s="172">
        <v>7.6139963129414165E-2</v>
      </c>
      <c r="AMJ23"/>
      <c r="AMK23"/>
    </row>
    <row r="24" spans="1:1025" ht="11.25" customHeight="1" x14ac:dyDescent="0.2">
      <c r="A24" s="236" t="s">
        <v>156</v>
      </c>
      <c r="B24" s="236"/>
      <c r="C24" s="236"/>
      <c r="D24" s="236"/>
      <c r="E24" s="236"/>
      <c r="F24" s="236"/>
      <c r="G24" s="236"/>
      <c r="AMJ24"/>
      <c r="AMK24"/>
    </row>
    <row r="25" spans="1:1025" x14ac:dyDescent="0.2">
      <c r="A25" s="28"/>
      <c r="B25" s="28"/>
      <c r="C25" s="28"/>
      <c r="D25" s="28"/>
      <c r="E25" s="28"/>
      <c r="F25" s="28"/>
      <c r="G25" s="28"/>
    </row>
    <row r="26" spans="1:1025" x14ac:dyDescent="0.2">
      <c r="A26" s="28"/>
      <c r="B26" s="28"/>
      <c r="C26" s="28"/>
      <c r="D26" s="28"/>
      <c r="E26" s="28"/>
      <c r="F26" s="28"/>
      <c r="G26" s="28"/>
    </row>
    <row r="27" spans="1:1025" x14ac:dyDescent="0.2">
      <c r="A27" s="29"/>
      <c r="B27" s="29"/>
      <c r="C27" s="29"/>
      <c r="D27" s="29"/>
      <c r="E27" s="29"/>
      <c r="F27" s="30"/>
      <c r="G27" s="29"/>
    </row>
  </sheetData>
  <mergeCells count="6">
    <mergeCell ref="A24:G24"/>
    <mergeCell ref="A1:G1"/>
    <mergeCell ref="A2:A3"/>
    <mergeCell ref="B2:B3"/>
    <mergeCell ref="C2:F2"/>
    <mergeCell ref="G2:G3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AMK29"/>
  <sheetViews>
    <sheetView zoomScaleNormal="100" workbookViewId="0"/>
  </sheetViews>
  <sheetFormatPr baseColWidth="10" defaultColWidth="9.140625" defaultRowHeight="12.75" x14ac:dyDescent="0.2"/>
  <cols>
    <col min="1" max="1" width="16.28515625" style="1"/>
    <col min="2" max="1025" width="11" style="1"/>
  </cols>
  <sheetData>
    <row r="1" spans="1:8" x14ac:dyDescent="0.2">
      <c r="A1" s="1" t="s">
        <v>256</v>
      </c>
      <c r="B1"/>
      <c r="C1"/>
      <c r="D1"/>
      <c r="E1"/>
      <c r="F1"/>
      <c r="G1"/>
      <c r="H1"/>
    </row>
    <row r="2" spans="1:8" x14ac:dyDescent="0.2">
      <c r="A2" s="54" t="s">
        <v>136</v>
      </c>
      <c r="B2" s="73">
        <v>7.4346820630645238</v>
      </c>
      <c r="C2"/>
      <c r="D2"/>
      <c r="E2"/>
      <c r="F2"/>
      <c r="G2"/>
      <c r="H2"/>
    </row>
    <row r="3" spans="1:8" ht="11.25" customHeight="1" x14ac:dyDescent="0.2">
      <c r="A3" s="47" t="s">
        <v>33</v>
      </c>
      <c r="B3" s="73">
        <v>2.4054979917625841</v>
      </c>
      <c r="C3" s="16"/>
      <c r="D3" s="16"/>
      <c r="E3" s="16"/>
      <c r="F3" s="16"/>
      <c r="G3" s="16"/>
      <c r="H3" s="16"/>
    </row>
    <row r="4" spans="1:8" x14ac:dyDescent="0.2">
      <c r="A4" s="47" t="s">
        <v>36</v>
      </c>
      <c r="B4" s="73">
        <v>2.0129839586061959</v>
      </c>
      <c r="C4" s="16"/>
      <c r="D4" s="16"/>
      <c r="E4" s="16"/>
      <c r="F4" s="16"/>
      <c r="G4" s="16"/>
      <c r="H4" s="16"/>
    </row>
    <row r="5" spans="1:8" x14ac:dyDescent="0.2">
      <c r="A5" s="55" t="s">
        <v>47</v>
      </c>
      <c r="B5" s="73">
        <v>1.3009295339896421</v>
      </c>
      <c r="D5"/>
      <c r="E5"/>
      <c r="F5"/>
    </row>
    <row r="6" spans="1:8" x14ac:dyDescent="0.2">
      <c r="A6" s="55" t="s">
        <v>39</v>
      </c>
      <c r="B6" s="73">
        <v>0.85024798863776452</v>
      </c>
      <c r="D6"/>
      <c r="E6"/>
      <c r="F6"/>
    </row>
    <row r="7" spans="1:8" x14ac:dyDescent="0.2">
      <c r="A7" s="47" t="s">
        <v>31</v>
      </c>
      <c r="B7" s="73">
        <v>0.25915868191611624</v>
      </c>
      <c r="D7"/>
      <c r="E7"/>
      <c r="F7"/>
    </row>
    <row r="8" spans="1:8" x14ac:dyDescent="0.2">
      <c r="A8" s="57" t="s">
        <v>257</v>
      </c>
      <c r="B8" s="73">
        <v>3.6426398035194207E-3</v>
      </c>
      <c r="D8"/>
      <c r="E8"/>
      <c r="F8"/>
    </row>
    <row r="9" spans="1:8" x14ac:dyDescent="0.2">
      <c r="A9" s="56" t="s">
        <v>43</v>
      </c>
      <c r="B9" s="73">
        <v>-0.11767686329725024</v>
      </c>
      <c r="D9"/>
      <c r="E9"/>
      <c r="F9"/>
    </row>
    <row r="10" spans="1:8" x14ac:dyDescent="0.2">
      <c r="A10" s="47" t="s">
        <v>38</v>
      </c>
      <c r="B10" s="73">
        <v>-0.93242364671689837</v>
      </c>
      <c r="D10"/>
      <c r="E10"/>
      <c r="F10"/>
    </row>
    <row r="11" spans="1:8" x14ac:dyDescent="0.2">
      <c r="A11" s="55" t="s">
        <v>37</v>
      </c>
      <c r="B11" s="73">
        <v>-0.93525693761196127</v>
      </c>
      <c r="D11"/>
      <c r="E11"/>
      <c r="F11"/>
    </row>
    <row r="12" spans="1:8" x14ac:dyDescent="0.2">
      <c r="A12" s="55" t="s">
        <v>46</v>
      </c>
      <c r="B12" s="73">
        <v>-1.0795901536817727</v>
      </c>
      <c r="D12"/>
      <c r="E12"/>
      <c r="F12"/>
    </row>
    <row r="13" spans="1:8" x14ac:dyDescent="0.2">
      <c r="A13" s="56" t="s">
        <v>41</v>
      </c>
      <c r="B13" s="73">
        <v>-1.6628605455449614</v>
      </c>
      <c r="D13"/>
      <c r="E13"/>
      <c r="F13"/>
    </row>
    <row r="14" spans="1:8" x14ac:dyDescent="0.2">
      <c r="A14" s="56" t="s">
        <v>44</v>
      </c>
      <c r="B14" s="73">
        <v>-1.674833334760137</v>
      </c>
      <c r="D14"/>
      <c r="E14"/>
      <c r="F14"/>
    </row>
    <row r="15" spans="1:8" x14ac:dyDescent="0.2">
      <c r="A15" s="47" t="s">
        <v>32</v>
      </c>
      <c r="B15" s="73">
        <v>-1.6912490740899067</v>
      </c>
      <c r="D15"/>
      <c r="E15"/>
      <c r="F15"/>
    </row>
    <row r="16" spans="1:8" x14ac:dyDescent="0.2">
      <c r="A16" s="56" t="s">
        <v>40</v>
      </c>
      <c r="B16" s="73">
        <v>-1.7295823631316265</v>
      </c>
      <c r="D16"/>
      <c r="E16"/>
      <c r="F16"/>
    </row>
    <row r="17" spans="1:15" x14ac:dyDescent="0.2">
      <c r="A17" s="47" t="s">
        <v>42</v>
      </c>
      <c r="B17" s="73">
        <v>-2.9652589354540098</v>
      </c>
      <c r="D17"/>
      <c r="E17"/>
      <c r="F17"/>
    </row>
    <row r="18" spans="1:15" x14ac:dyDescent="0.2">
      <c r="A18" s="47" t="s">
        <v>148</v>
      </c>
      <c r="B18" s="73">
        <v>-5.2946674543946077</v>
      </c>
      <c r="D18"/>
      <c r="E18"/>
      <c r="F18"/>
    </row>
    <row r="19" spans="1:15" x14ac:dyDescent="0.2">
      <c r="A19" s="56" t="s">
        <v>45</v>
      </c>
      <c r="B19" s="73">
        <v>-9.1265063210960502</v>
      </c>
      <c r="D19"/>
      <c r="E19"/>
      <c r="F19"/>
    </row>
    <row r="20" spans="1:15" x14ac:dyDescent="0.2">
      <c r="A20" s="47" t="s">
        <v>149</v>
      </c>
      <c r="B20" s="73">
        <v>-13.360833602437799</v>
      </c>
      <c r="D20"/>
      <c r="E20"/>
      <c r="F20"/>
    </row>
    <row r="21" spans="1:15" x14ac:dyDescent="0.2">
      <c r="A21" s="47" t="s">
        <v>150</v>
      </c>
      <c r="B21" s="73">
        <v>-17.526003687058584</v>
      </c>
      <c r="D21"/>
      <c r="E21"/>
      <c r="F21"/>
    </row>
    <row r="22" spans="1:15" x14ac:dyDescent="0.2">
      <c r="A22" s="79" t="s">
        <v>385</v>
      </c>
      <c r="D22"/>
      <c r="E22"/>
      <c r="F22"/>
    </row>
    <row r="23" spans="1:15" x14ac:dyDescent="0.2">
      <c r="D23"/>
      <c r="E23"/>
      <c r="F23"/>
    </row>
    <row r="24" spans="1:15" x14ac:dyDescent="0.2">
      <c r="D24"/>
      <c r="E24"/>
      <c r="F24"/>
    </row>
    <row r="25" spans="1:15" x14ac:dyDescent="0.2">
      <c r="D25"/>
      <c r="E25"/>
      <c r="F25"/>
    </row>
    <row r="26" spans="1:15" x14ac:dyDescent="0.2">
      <c r="D26"/>
      <c r="E26"/>
      <c r="F26"/>
    </row>
    <row r="27" spans="1:15" x14ac:dyDescent="0.2">
      <c r="D27"/>
      <c r="E27"/>
      <c r="F27"/>
    </row>
    <row r="28" spans="1:15" x14ac:dyDescent="0.2">
      <c r="D28"/>
      <c r="E28"/>
      <c r="F28"/>
    </row>
    <row r="29" spans="1:15" x14ac:dyDescent="0.2">
      <c r="D29"/>
      <c r="E29"/>
      <c r="F29" s="272" t="s">
        <v>385</v>
      </c>
      <c r="G29" s="272"/>
      <c r="H29" s="272"/>
      <c r="I29" s="272"/>
      <c r="J29" s="272"/>
      <c r="K29" s="272"/>
      <c r="L29" s="272"/>
      <c r="M29" s="272"/>
      <c r="N29" s="272"/>
      <c r="O29" s="272"/>
    </row>
  </sheetData>
  <mergeCells count="1">
    <mergeCell ref="F29:O29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AMK10"/>
  <sheetViews>
    <sheetView zoomScaleNormal="100" workbookViewId="0">
      <selection activeCell="B2" sqref="B2:F3"/>
    </sheetView>
  </sheetViews>
  <sheetFormatPr baseColWidth="10" defaultColWidth="9.140625" defaultRowHeight="12.75" x14ac:dyDescent="0.2"/>
  <cols>
    <col min="1" max="1" width="21.85546875" style="1"/>
    <col min="2" max="6" width="10.28515625" style="1"/>
    <col min="7" max="1025" width="11" style="1"/>
  </cols>
  <sheetData>
    <row r="1" spans="1:6" x14ac:dyDescent="0.2">
      <c r="A1" s="273" t="s">
        <v>306</v>
      </c>
      <c r="B1" s="273"/>
      <c r="C1" s="273"/>
      <c r="D1" s="273"/>
      <c r="E1" s="273"/>
      <c r="F1" s="273"/>
    </row>
    <row r="2" spans="1:6" ht="11.25" customHeight="1" x14ac:dyDescent="0.2">
      <c r="A2" s="274"/>
      <c r="B2" s="275" t="s">
        <v>162</v>
      </c>
      <c r="C2" s="275"/>
      <c r="D2" s="275"/>
      <c r="E2" s="275"/>
      <c r="F2" s="276" t="s">
        <v>164</v>
      </c>
    </row>
    <row r="3" spans="1:6" ht="22.5" x14ac:dyDescent="0.2">
      <c r="A3" s="274"/>
      <c r="B3" s="206" t="s">
        <v>145</v>
      </c>
      <c r="C3" s="206" t="s">
        <v>146</v>
      </c>
      <c r="D3" s="206" t="s">
        <v>147</v>
      </c>
      <c r="E3" s="206" t="s">
        <v>48</v>
      </c>
      <c r="F3" s="276"/>
    </row>
    <row r="4" spans="1:6" x14ac:dyDescent="0.2">
      <c r="A4" s="173" t="s">
        <v>165</v>
      </c>
      <c r="B4" s="174">
        <v>3756.9005847755075</v>
      </c>
      <c r="C4" s="174">
        <v>3791.1093225015411</v>
      </c>
      <c r="D4" s="174">
        <v>408.56393538771346</v>
      </c>
      <c r="E4" s="175">
        <v>7956.5738426647613</v>
      </c>
      <c r="F4" s="166">
        <v>0.32511268790553455</v>
      </c>
    </row>
    <row r="5" spans="1:6" x14ac:dyDescent="0.2">
      <c r="A5" s="173" t="s">
        <v>166</v>
      </c>
      <c r="B5" s="174">
        <v>3847.9998793534864</v>
      </c>
      <c r="C5" s="174">
        <v>3750.3335590073461</v>
      </c>
      <c r="D5" s="174">
        <v>412.99420722495347</v>
      </c>
      <c r="E5" s="175">
        <v>8011.3276455857858</v>
      </c>
      <c r="F5" s="166">
        <v>0.32734997701925467</v>
      </c>
    </row>
    <row r="6" spans="1:6" x14ac:dyDescent="0.2">
      <c r="A6" s="173" t="s">
        <v>167</v>
      </c>
      <c r="B6" s="174">
        <v>3787.8940559797106</v>
      </c>
      <c r="C6" s="174">
        <v>3785.8094082179969</v>
      </c>
      <c r="D6" s="174">
        <v>448.4687797423469</v>
      </c>
      <c r="E6" s="175">
        <v>8022.1722439400546</v>
      </c>
      <c r="F6" s="166">
        <v>0.32779309695880787</v>
      </c>
    </row>
    <row r="7" spans="1:6" x14ac:dyDescent="0.2">
      <c r="A7" s="173" t="s">
        <v>73</v>
      </c>
      <c r="B7" s="174">
        <v>3820.9144156650473</v>
      </c>
      <c r="C7" s="174">
        <v>3737.3098605522855</v>
      </c>
      <c r="D7" s="174">
        <v>648.3208349950213</v>
      </c>
      <c r="E7" s="175">
        <v>8206.5451112123537</v>
      </c>
      <c r="F7" s="166">
        <v>0.33532673639219396</v>
      </c>
    </row>
    <row r="8" spans="1:6" x14ac:dyDescent="0.2">
      <c r="A8" s="173" t="s">
        <v>235</v>
      </c>
      <c r="B8" s="174">
        <v>3769.0280366992065</v>
      </c>
      <c r="C8" s="174">
        <v>3786.5469660232461</v>
      </c>
      <c r="D8" s="174">
        <v>416.51814768111205</v>
      </c>
      <c r="E8" s="175">
        <v>7972.0931504035652</v>
      </c>
      <c r="F8" s="166">
        <v>0.32574682063064553</v>
      </c>
    </row>
    <row r="9" spans="1:6" x14ac:dyDescent="0.2">
      <c r="A9" s="277" t="s">
        <v>386</v>
      </c>
      <c r="B9" s="277"/>
      <c r="C9" s="277"/>
      <c r="D9" s="277"/>
      <c r="E9" s="277"/>
      <c r="F9" s="277"/>
    </row>
    <row r="10" spans="1:6" x14ac:dyDescent="0.2">
      <c r="B10"/>
      <c r="C10"/>
    </row>
  </sheetData>
  <mergeCells count="5">
    <mergeCell ref="A1:F1"/>
    <mergeCell ref="A2:A3"/>
    <mergeCell ref="B2:E2"/>
    <mergeCell ref="F2:F3"/>
    <mergeCell ref="A9:F9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AMK75"/>
  <sheetViews>
    <sheetView zoomScale="120" zoomScaleNormal="120" workbookViewId="0">
      <selection activeCell="G11" sqref="G11"/>
    </sheetView>
  </sheetViews>
  <sheetFormatPr baseColWidth="10" defaultColWidth="9.140625" defaultRowHeight="12.75" x14ac:dyDescent="0.2"/>
  <cols>
    <col min="1" max="1" width="25.7109375" style="27"/>
    <col min="2" max="6" width="9.5703125" style="27"/>
    <col min="7" max="1025" width="11" style="27"/>
  </cols>
  <sheetData>
    <row r="1" spans="1:1025" ht="10.5" customHeight="1" x14ac:dyDescent="0.2">
      <c r="A1" s="252" t="s">
        <v>307</v>
      </c>
      <c r="B1" s="252"/>
      <c r="C1" s="252"/>
      <c r="D1" s="252"/>
      <c r="E1" s="252"/>
      <c r="F1" s="252"/>
      <c r="G1" s="27" t="s">
        <v>168</v>
      </c>
    </row>
    <row r="2" spans="1:1025" ht="11.25" customHeight="1" x14ac:dyDescent="0.2">
      <c r="A2" s="278"/>
      <c r="B2" s="248" t="s">
        <v>234</v>
      </c>
      <c r="C2" s="248"/>
      <c r="D2" s="248"/>
      <c r="E2" s="248"/>
      <c r="F2" s="279" t="s">
        <v>164</v>
      </c>
    </row>
    <row r="3" spans="1:1025" ht="33.75" x14ac:dyDescent="0.2">
      <c r="A3" s="278"/>
      <c r="B3" s="196" t="s">
        <v>145</v>
      </c>
      <c r="C3" s="196" t="s">
        <v>146</v>
      </c>
      <c r="D3" s="196" t="s">
        <v>147</v>
      </c>
      <c r="E3" s="196" t="s">
        <v>48</v>
      </c>
      <c r="F3" s="279"/>
      <c r="AMB3"/>
      <c r="AMC3"/>
      <c r="AMD3"/>
      <c r="AME3"/>
      <c r="AMF3"/>
      <c r="AMG3"/>
      <c r="AMH3"/>
      <c r="AMI3"/>
      <c r="AMJ3"/>
      <c r="AMK3"/>
    </row>
    <row r="4" spans="1:1025" x14ac:dyDescent="0.2">
      <c r="A4" s="171" t="s">
        <v>165</v>
      </c>
      <c r="B4" s="176">
        <v>3756.9005847755075</v>
      </c>
      <c r="C4" s="176">
        <v>3791.1093225015411</v>
      </c>
      <c r="D4" s="176">
        <v>408.56393538771346</v>
      </c>
      <c r="E4" s="176">
        <v>7956.5738426647613</v>
      </c>
      <c r="F4" s="177">
        <v>0.32511268790553455</v>
      </c>
      <c r="H4" s="34"/>
      <c r="AMB4"/>
      <c r="AMC4"/>
      <c r="AMD4"/>
      <c r="AME4"/>
      <c r="AMF4"/>
      <c r="AMG4"/>
      <c r="AMH4"/>
      <c r="AMI4"/>
      <c r="AMJ4"/>
      <c r="AMK4"/>
    </row>
    <row r="5" spans="1:1025" x14ac:dyDescent="0.2">
      <c r="A5" s="284" t="s">
        <v>169</v>
      </c>
      <c r="B5" s="178">
        <v>3580.6604758113781</v>
      </c>
      <c r="C5" s="178">
        <v>3783.540537654671</v>
      </c>
      <c r="D5" s="178">
        <v>304.17758660781539</v>
      </c>
      <c r="E5" s="176">
        <v>7668.3786000738637</v>
      </c>
      <c r="F5" s="179">
        <v>0.31333677382328251</v>
      </c>
      <c r="AMB5"/>
      <c r="AMC5"/>
      <c r="AMD5"/>
      <c r="AME5"/>
      <c r="AMF5"/>
      <c r="AMG5"/>
      <c r="AMH5"/>
      <c r="AMI5"/>
      <c r="AMJ5"/>
      <c r="AMK5"/>
    </row>
    <row r="6" spans="1:1025" x14ac:dyDescent="0.2">
      <c r="A6" s="284" t="s">
        <v>55</v>
      </c>
      <c r="B6" s="178">
        <v>4110.2949850593086</v>
      </c>
      <c r="C6" s="178">
        <v>3755.2068836187113</v>
      </c>
      <c r="D6" s="178">
        <v>451.12138288281949</v>
      </c>
      <c r="E6" s="176">
        <v>8316.623251560839</v>
      </c>
      <c r="F6" s="179">
        <v>0.33982462716729583</v>
      </c>
      <c r="AMB6"/>
      <c r="AMC6"/>
      <c r="AMD6"/>
      <c r="AME6"/>
      <c r="AMF6"/>
      <c r="AMG6"/>
      <c r="AMH6"/>
      <c r="AMI6"/>
      <c r="AMJ6"/>
      <c r="AMK6"/>
    </row>
    <row r="7" spans="1:1025" x14ac:dyDescent="0.2">
      <c r="A7" s="284" t="s">
        <v>170</v>
      </c>
      <c r="B7" s="178">
        <v>3571.7416423793065</v>
      </c>
      <c r="C7" s="178">
        <v>3773.0913542995422</v>
      </c>
      <c r="D7" s="178">
        <v>271.26256546059864</v>
      </c>
      <c r="E7" s="176">
        <v>7616.0955621394478</v>
      </c>
      <c r="F7" s="179">
        <v>0.31120044236569216</v>
      </c>
      <c r="AMB7"/>
      <c r="AMC7"/>
      <c r="AMD7"/>
      <c r="AME7"/>
      <c r="AMF7"/>
      <c r="AMG7"/>
      <c r="AMH7"/>
      <c r="AMI7"/>
      <c r="AMJ7"/>
      <c r="AMK7"/>
    </row>
    <row r="8" spans="1:1025" x14ac:dyDescent="0.2">
      <c r="A8" s="284" t="s">
        <v>171</v>
      </c>
      <c r="B8" s="178">
        <v>4278.9239976579966</v>
      </c>
      <c r="C8" s="178">
        <v>3940.2501750905835</v>
      </c>
      <c r="D8" s="178">
        <v>684.09828583258752</v>
      </c>
      <c r="E8" s="176">
        <v>8903.2724585811684</v>
      </c>
      <c r="F8" s="179">
        <v>0.36379563583553848</v>
      </c>
      <c r="AMB8"/>
      <c r="AMC8"/>
      <c r="AMD8"/>
      <c r="AME8"/>
      <c r="AMF8"/>
      <c r="AMG8"/>
      <c r="AMH8"/>
      <c r="AMI8"/>
      <c r="AMJ8"/>
      <c r="AMK8"/>
    </row>
    <row r="9" spans="1:1025" x14ac:dyDescent="0.2">
      <c r="A9" s="284" t="s">
        <v>172</v>
      </c>
      <c r="B9" s="178">
        <v>3637.2494618778824</v>
      </c>
      <c r="C9" s="178">
        <v>3749.5574936695821</v>
      </c>
      <c r="D9" s="178">
        <v>315.69065043686726</v>
      </c>
      <c r="E9" s="176">
        <v>7702.497605984332</v>
      </c>
      <c r="F9" s="172">
        <v>0.31473090676788446</v>
      </c>
      <c r="AMB9"/>
      <c r="AMC9"/>
      <c r="AMD9"/>
      <c r="AME9"/>
      <c r="AMF9"/>
      <c r="AMG9"/>
      <c r="AMH9"/>
      <c r="AMI9"/>
      <c r="AMJ9"/>
      <c r="AMK9"/>
    </row>
    <row r="10" spans="1:1025" x14ac:dyDescent="0.2">
      <c r="A10" s="284" t="s">
        <v>173</v>
      </c>
      <c r="B10" s="178">
        <v>3834.8232605342814</v>
      </c>
      <c r="C10" s="178">
        <v>3795.6482118953313</v>
      </c>
      <c r="D10" s="178">
        <v>608.69733029044278</v>
      </c>
      <c r="E10" s="176">
        <v>8239.1688027200562</v>
      </c>
      <c r="F10" s="179">
        <v>0.33665976945959247</v>
      </c>
      <c r="AMB10"/>
      <c r="AMC10"/>
      <c r="AMD10"/>
      <c r="AME10"/>
      <c r="AMF10"/>
      <c r="AMG10"/>
      <c r="AMH10"/>
      <c r="AMI10"/>
      <c r="AMJ10"/>
      <c r="AMK10"/>
    </row>
    <row r="11" spans="1:1025" x14ac:dyDescent="0.2">
      <c r="A11" s="284" t="s">
        <v>174</v>
      </c>
      <c r="B11" s="178">
        <v>3959.5198287629896</v>
      </c>
      <c r="C11" s="178">
        <v>4212.5398826907967</v>
      </c>
      <c r="D11" s="178">
        <v>625.64078067830337</v>
      </c>
      <c r="E11" s="176">
        <v>8797.7004921320895</v>
      </c>
      <c r="F11" s="179">
        <v>0.35948187133608933</v>
      </c>
      <c r="AMB11"/>
      <c r="AMC11"/>
      <c r="AMD11"/>
      <c r="AME11"/>
      <c r="AMF11"/>
      <c r="AMG11"/>
      <c r="AMH11"/>
      <c r="AMI11"/>
      <c r="AMJ11"/>
      <c r="AMK11"/>
    </row>
    <row r="12" spans="1:1025" x14ac:dyDescent="0.2">
      <c r="A12" s="284" t="s">
        <v>175</v>
      </c>
      <c r="B12" s="178">
        <v>3560.3962160011456</v>
      </c>
      <c r="C12" s="178">
        <v>3763.1892171773961</v>
      </c>
      <c r="D12" s="178">
        <v>301.63638297985767</v>
      </c>
      <c r="E12" s="176">
        <v>7625.2218161583987</v>
      </c>
      <c r="F12" s="179">
        <v>0.31157334922651964</v>
      </c>
      <c r="AMB12"/>
      <c r="AMC12"/>
      <c r="AMD12"/>
      <c r="AME12"/>
      <c r="AMF12"/>
      <c r="AMG12"/>
      <c r="AMH12"/>
      <c r="AMI12"/>
      <c r="AMJ12"/>
      <c r="AMK12"/>
    </row>
    <row r="13" spans="1:1025" x14ac:dyDescent="0.2">
      <c r="A13" s="284" t="s">
        <v>176</v>
      </c>
      <c r="B13" s="178">
        <v>3647.2448287629895</v>
      </c>
      <c r="C13" s="178">
        <v>3806.635823650206</v>
      </c>
      <c r="D13" s="178">
        <v>428.80598363033295</v>
      </c>
      <c r="E13" s="176">
        <v>7882.6866360435288</v>
      </c>
      <c r="F13" s="179">
        <v>0.32209359088947326</v>
      </c>
      <c r="AMB13"/>
      <c r="AMC13"/>
      <c r="AMD13"/>
      <c r="AME13"/>
      <c r="AMF13"/>
      <c r="AMG13"/>
      <c r="AMH13"/>
      <c r="AMI13"/>
      <c r="AMJ13"/>
      <c r="AMK13"/>
    </row>
    <row r="14" spans="1:1025" x14ac:dyDescent="0.2">
      <c r="A14" s="284" t="s">
        <v>177</v>
      </c>
      <c r="B14" s="178">
        <v>3611.883826013684</v>
      </c>
      <c r="C14" s="178">
        <v>3776.8720658900911</v>
      </c>
      <c r="D14" s="178">
        <v>396.73758842145548</v>
      </c>
      <c r="E14" s="176">
        <v>7785.4934803252299</v>
      </c>
      <c r="F14" s="179">
        <v>0.31812219205293402</v>
      </c>
      <c r="AMB14"/>
      <c r="AMC14"/>
      <c r="AMD14"/>
      <c r="AME14"/>
      <c r="AMF14"/>
      <c r="AMG14"/>
      <c r="AMH14"/>
      <c r="AMI14"/>
      <c r="AMJ14"/>
      <c r="AMK14"/>
    </row>
    <row r="15" spans="1:1025" x14ac:dyDescent="0.2">
      <c r="A15" s="284" t="s">
        <v>56</v>
      </c>
      <c r="B15" s="178">
        <v>4248.135529962311</v>
      </c>
      <c r="C15" s="178">
        <v>3839.5254108508079</v>
      </c>
      <c r="D15" s="178">
        <v>370.08261314045257</v>
      </c>
      <c r="E15" s="176">
        <v>8457.7435539535709</v>
      </c>
      <c r="F15" s="179">
        <v>0.3455909283084887</v>
      </c>
      <c r="AMB15"/>
      <c r="AMC15"/>
      <c r="AMD15"/>
      <c r="AME15"/>
      <c r="AMF15"/>
      <c r="AMG15"/>
      <c r="AMH15"/>
      <c r="AMI15"/>
      <c r="AMJ15"/>
      <c r="AMK15"/>
    </row>
    <row r="16" spans="1:1025" x14ac:dyDescent="0.2">
      <c r="A16" s="284" t="s">
        <v>178</v>
      </c>
      <c r="B16" s="178">
        <v>3565.847496629422</v>
      </c>
      <c r="C16" s="178">
        <v>3765.2446832583255</v>
      </c>
      <c r="D16" s="178">
        <v>438.93211485211452</v>
      </c>
      <c r="E16" s="176">
        <v>7770.0242947398629</v>
      </c>
      <c r="F16" s="179">
        <v>0.31749010736361705</v>
      </c>
      <c r="AMB16"/>
      <c r="AMC16"/>
      <c r="AMD16"/>
      <c r="AME16"/>
      <c r="AMF16"/>
      <c r="AMG16"/>
      <c r="AMH16"/>
      <c r="AMI16"/>
      <c r="AMJ16"/>
      <c r="AMK16"/>
    </row>
    <row r="17" spans="1:1025" x14ac:dyDescent="0.2">
      <c r="A17" s="284" t="s">
        <v>179</v>
      </c>
      <c r="B17" s="178">
        <v>3685.6925734059764</v>
      </c>
      <c r="C17" s="178">
        <v>3782.7768633233518</v>
      </c>
      <c r="D17" s="178">
        <v>507.77514691406202</v>
      </c>
      <c r="E17" s="176">
        <v>7976.2445836433908</v>
      </c>
      <c r="F17" s="179">
        <v>0.32591645188725787</v>
      </c>
      <c r="AMB17"/>
      <c r="AMC17"/>
      <c r="AMD17"/>
      <c r="AME17"/>
      <c r="AMF17"/>
      <c r="AMG17"/>
      <c r="AMH17"/>
      <c r="AMI17"/>
      <c r="AMJ17"/>
      <c r="AMK17"/>
    </row>
    <row r="18" spans="1:1025" x14ac:dyDescent="0.2">
      <c r="A18" s="284" t="s">
        <v>180</v>
      </c>
      <c r="B18" s="178">
        <v>4051.4541604245392</v>
      </c>
      <c r="C18" s="178">
        <v>3803.6507150688035</v>
      </c>
      <c r="D18" s="178">
        <v>656.775875228774</v>
      </c>
      <c r="E18" s="176">
        <v>8511.8807507221172</v>
      </c>
      <c r="F18" s="179">
        <v>0.34780302234608995</v>
      </c>
      <c r="AMB18"/>
      <c r="AMC18"/>
      <c r="AMD18"/>
      <c r="AME18"/>
      <c r="AMF18"/>
      <c r="AMG18"/>
      <c r="AMH18"/>
      <c r="AMI18"/>
      <c r="AMJ18"/>
      <c r="AMK18"/>
    </row>
    <row r="19" spans="1:1025" x14ac:dyDescent="0.2">
      <c r="A19" s="284" t="s">
        <v>181</v>
      </c>
      <c r="B19" s="178">
        <v>3526.5534518478539</v>
      </c>
      <c r="C19" s="178">
        <v>3756.4033156687515</v>
      </c>
      <c r="D19" s="178">
        <v>398.56056453763154</v>
      </c>
      <c r="E19" s="176">
        <v>7681.5173320542372</v>
      </c>
      <c r="F19" s="179">
        <v>0.31387363410438801</v>
      </c>
      <c r="AMB19"/>
      <c r="AMC19"/>
      <c r="AMD19"/>
      <c r="AME19"/>
      <c r="AMF19"/>
      <c r="AMG19"/>
      <c r="AMH19"/>
      <c r="AMI19"/>
      <c r="AMJ19"/>
      <c r="AMK19"/>
    </row>
    <row r="20" spans="1:1025" x14ac:dyDescent="0.2">
      <c r="A20" s="284" t="s">
        <v>182</v>
      </c>
      <c r="B20" s="178">
        <v>3560.7742560714032</v>
      </c>
      <c r="C20" s="178">
        <v>3761.9866447436239</v>
      </c>
      <c r="D20" s="178">
        <v>206.13034830980277</v>
      </c>
      <c r="E20" s="176">
        <v>7528.8912491248293</v>
      </c>
      <c r="F20" s="179">
        <v>0.3076371965312712</v>
      </c>
      <c r="AMB20"/>
      <c r="AMC20"/>
      <c r="AMD20"/>
      <c r="AME20"/>
      <c r="AMF20"/>
      <c r="AMG20"/>
      <c r="AMH20"/>
      <c r="AMI20"/>
      <c r="AMJ20"/>
      <c r="AMK20"/>
    </row>
    <row r="21" spans="1:1025" x14ac:dyDescent="0.2">
      <c r="A21" s="284" t="s">
        <v>183</v>
      </c>
      <c r="B21" s="178">
        <v>4869.0987848767354</v>
      </c>
      <c r="C21" s="178">
        <v>3821.8558571561798</v>
      </c>
      <c r="D21" s="178">
        <v>885.53913483424867</v>
      </c>
      <c r="E21" s="176">
        <v>9576.4937768671643</v>
      </c>
      <c r="F21" s="179">
        <v>0.39130405801213253</v>
      </c>
      <c r="AMB21"/>
      <c r="AMC21"/>
      <c r="AMD21"/>
      <c r="AME21"/>
      <c r="AMF21"/>
      <c r="AMG21"/>
      <c r="AMH21"/>
      <c r="AMI21"/>
      <c r="AMJ21"/>
      <c r="AMK21"/>
    </row>
    <row r="22" spans="1:1025" x14ac:dyDescent="0.2">
      <c r="A22" s="284" t="s">
        <v>184</v>
      </c>
      <c r="B22" s="178">
        <v>4989.078456008102</v>
      </c>
      <c r="C22" s="178">
        <v>3843.3654723831578</v>
      </c>
      <c r="D22" s="178">
        <v>1255.8177468971369</v>
      </c>
      <c r="E22" s="176">
        <v>10088.261675288397</v>
      </c>
      <c r="F22" s="179">
        <v>0.41221534977282964</v>
      </c>
      <c r="AMB22"/>
      <c r="AMC22"/>
      <c r="AMD22"/>
      <c r="AME22"/>
      <c r="AMF22"/>
      <c r="AMG22"/>
      <c r="AMH22"/>
      <c r="AMI22"/>
      <c r="AMJ22"/>
      <c r="AMK22"/>
    </row>
    <row r="23" spans="1:1025" x14ac:dyDescent="0.2">
      <c r="A23" s="284" t="s">
        <v>185</v>
      </c>
      <c r="B23" s="178">
        <v>3621.8217504787203</v>
      </c>
      <c r="C23" s="178">
        <v>3761.0781709564221</v>
      </c>
      <c r="D23" s="178">
        <v>373.58392835021641</v>
      </c>
      <c r="E23" s="176">
        <v>7756.4838497853589</v>
      </c>
      <c r="F23" s="179">
        <v>0.31693683273289719</v>
      </c>
      <c r="AMB23"/>
      <c r="AMC23"/>
      <c r="AMD23"/>
      <c r="AME23"/>
      <c r="AMF23"/>
      <c r="AMG23"/>
      <c r="AMH23"/>
      <c r="AMI23"/>
      <c r="AMJ23"/>
      <c r="AMK23"/>
    </row>
    <row r="24" spans="1:1025" x14ac:dyDescent="0.2">
      <c r="A24" s="284" t="s">
        <v>186</v>
      </c>
      <c r="B24" s="178">
        <v>3956.0553124294825</v>
      </c>
      <c r="C24" s="178">
        <v>3865.695423066139</v>
      </c>
      <c r="D24" s="178">
        <v>572.03684241284725</v>
      </c>
      <c r="E24" s="176">
        <v>8393.7875779084679</v>
      </c>
      <c r="F24" s="179">
        <v>0.34297763021174388</v>
      </c>
      <c r="AMB24"/>
      <c r="AMC24"/>
      <c r="AMD24"/>
      <c r="AME24"/>
      <c r="AMF24"/>
      <c r="AMG24"/>
      <c r="AMH24"/>
      <c r="AMI24"/>
      <c r="AMJ24"/>
      <c r="AMK24"/>
    </row>
    <row r="25" spans="1:1025" x14ac:dyDescent="0.2">
      <c r="A25" s="284" t="s">
        <v>187</v>
      </c>
      <c r="B25" s="178">
        <v>3694.0919366224193</v>
      </c>
      <c r="C25" s="178">
        <v>3763.279921582046</v>
      </c>
      <c r="D25" s="178">
        <v>387.06262931284351</v>
      </c>
      <c r="E25" s="176">
        <v>7844.4344875173092</v>
      </c>
      <c r="F25" s="179">
        <v>0.3205305740594358</v>
      </c>
      <c r="AMB25"/>
      <c r="AMC25"/>
      <c r="AMD25"/>
      <c r="AME25"/>
      <c r="AMF25"/>
      <c r="AMG25"/>
      <c r="AMH25"/>
      <c r="AMI25"/>
      <c r="AMJ25"/>
      <c r="AMK25"/>
    </row>
    <row r="26" spans="1:1025" x14ac:dyDescent="0.2">
      <c r="A26" s="284" t="s">
        <v>188</v>
      </c>
      <c r="B26" s="178">
        <v>3944.0701120084909</v>
      </c>
      <c r="C26" s="178">
        <v>3769.9978422410663</v>
      </c>
      <c r="D26" s="178">
        <v>636.66117944035557</v>
      </c>
      <c r="E26" s="176">
        <v>8350.7291336899125</v>
      </c>
      <c r="F26" s="179">
        <v>0.34121822386251094</v>
      </c>
      <c r="AMB26"/>
      <c r="AMC26"/>
      <c r="AMD26"/>
      <c r="AME26"/>
      <c r="AMF26"/>
      <c r="AMG26"/>
      <c r="AMH26"/>
      <c r="AMI26"/>
      <c r="AMJ26"/>
      <c r="AMK26"/>
    </row>
    <row r="27" spans="1:1025" x14ac:dyDescent="0.2">
      <c r="A27" s="284" t="s">
        <v>57</v>
      </c>
      <c r="B27" s="178">
        <v>3571.1810690666043</v>
      </c>
      <c r="C27" s="178">
        <v>3756.3024010671284</v>
      </c>
      <c r="D27" s="178">
        <v>436.26166379912536</v>
      </c>
      <c r="E27" s="176">
        <v>7763.7451339328582</v>
      </c>
      <c r="F27" s="179">
        <v>0.31723353526510778</v>
      </c>
      <c r="AMB27"/>
      <c r="AMC27"/>
      <c r="AMD27"/>
      <c r="AME27"/>
      <c r="AMF27"/>
      <c r="AMG27"/>
      <c r="AMH27"/>
      <c r="AMI27"/>
      <c r="AMJ27"/>
      <c r="AMK27"/>
    </row>
    <row r="28" spans="1:1025" x14ac:dyDescent="0.2">
      <c r="A28" s="284" t="s">
        <v>189</v>
      </c>
      <c r="B28" s="178">
        <v>3520.7073307087599</v>
      </c>
      <c r="C28" s="178">
        <v>3760.1729696018706</v>
      </c>
      <c r="D28" s="178">
        <v>222.85997675401845</v>
      </c>
      <c r="E28" s="176">
        <v>7503.7402770646486</v>
      </c>
      <c r="F28" s="179">
        <v>0.30660950543060217</v>
      </c>
      <c r="AMB28"/>
      <c r="AMC28"/>
      <c r="AMD28"/>
      <c r="AME28"/>
      <c r="AMF28"/>
      <c r="AMG28"/>
      <c r="AMH28"/>
      <c r="AMI28"/>
      <c r="AMJ28"/>
      <c r="AMK28"/>
    </row>
    <row r="29" spans="1:1025" x14ac:dyDescent="0.2">
      <c r="A29" s="284" t="s">
        <v>190</v>
      </c>
      <c r="B29" s="178">
        <v>3575.364422858931</v>
      </c>
      <c r="C29" s="178">
        <v>3748.8350856428265</v>
      </c>
      <c r="D29" s="178">
        <v>392.68510630487168</v>
      </c>
      <c r="E29" s="176">
        <v>7716.8846148066286</v>
      </c>
      <c r="F29" s="179">
        <v>0.31531877275161435</v>
      </c>
      <c r="AMB29"/>
      <c r="AMC29"/>
      <c r="AMD29"/>
      <c r="AME29"/>
      <c r="AMF29"/>
      <c r="AMG29"/>
      <c r="AMH29"/>
      <c r="AMI29"/>
      <c r="AMJ29"/>
      <c r="AMK29"/>
    </row>
    <row r="30" spans="1:1025" x14ac:dyDescent="0.2">
      <c r="A30" s="284" t="s">
        <v>191</v>
      </c>
      <c r="B30" s="178">
        <v>3555.5805234878617</v>
      </c>
      <c r="C30" s="178">
        <v>3766.37806258203</v>
      </c>
      <c r="D30" s="178">
        <v>210.90832220088848</v>
      </c>
      <c r="E30" s="176">
        <v>7532.8669082707802</v>
      </c>
      <c r="F30" s="179">
        <v>0.30779964550198335</v>
      </c>
      <c r="AMB30"/>
      <c r="AMC30"/>
      <c r="AMD30"/>
      <c r="AME30"/>
      <c r="AMF30"/>
      <c r="AMG30"/>
      <c r="AMH30"/>
      <c r="AMI30"/>
      <c r="AMJ30"/>
      <c r="AMK30"/>
    </row>
    <row r="31" spans="1:1025" x14ac:dyDescent="0.2">
      <c r="A31" s="284" t="s">
        <v>58</v>
      </c>
      <c r="B31" s="178">
        <v>3753.1435396441962</v>
      </c>
      <c r="C31" s="178">
        <v>3761.8744326499423</v>
      </c>
      <c r="D31" s="178">
        <v>456.79588622818687</v>
      </c>
      <c r="E31" s="176">
        <v>7971.8138585223251</v>
      </c>
      <c r="F31" s="179">
        <v>0.32573540851583133</v>
      </c>
      <c r="AMB31"/>
      <c r="AMC31"/>
      <c r="AMD31"/>
      <c r="AME31"/>
      <c r="AMF31"/>
      <c r="AMG31"/>
      <c r="AMH31"/>
      <c r="AMI31"/>
      <c r="AMJ31"/>
      <c r="AMK31"/>
    </row>
    <row r="32" spans="1:1025" x14ac:dyDescent="0.2">
      <c r="A32" s="284" t="s">
        <v>59</v>
      </c>
      <c r="B32" s="178">
        <v>3685.5735138897503</v>
      </c>
      <c r="C32" s="178">
        <v>3757.4897755488719</v>
      </c>
      <c r="D32" s="178">
        <v>369.69400948817861</v>
      </c>
      <c r="E32" s="176">
        <v>7812.7572989268001</v>
      </c>
      <c r="F32" s="179">
        <v>0.31923621594354329</v>
      </c>
      <c r="AMB32"/>
      <c r="AMC32"/>
      <c r="AMD32"/>
      <c r="AME32"/>
      <c r="AMF32"/>
      <c r="AMG32"/>
      <c r="AMH32"/>
      <c r="AMI32"/>
      <c r="AMJ32"/>
      <c r="AMK32"/>
    </row>
    <row r="33" spans="1:1025" x14ac:dyDescent="0.2">
      <c r="A33" s="284" t="s">
        <v>192</v>
      </c>
      <c r="B33" s="178">
        <v>3621.9786739742908</v>
      </c>
      <c r="C33" s="178">
        <v>3745.7413953942601</v>
      </c>
      <c r="D33" s="178">
        <v>318.07106656796924</v>
      </c>
      <c r="E33" s="176">
        <v>7685.7911359365198</v>
      </c>
      <c r="F33" s="179">
        <v>0.31404826553435089</v>
      </c>
      <c r="AMB33"/>
      <c r="AMC33"/>
      <c r="AMD33"/>
      <c r="AME33"/>
      <c r="AMF33"/>
      <c r="AMG33"/>
      <c r="AMH33"/>
      <c r="AMI33"/>
      <c r="AMJ33"/>
      <c r="AMK33"/>
    </row>
    <row r="34" spans="1:1025" x14ac:dyDescent="0.2">
      <c r="A34" s="284" t="s">
        <v>193</v>
      </c>
      <c r="B34" s="178">
        <v>3532.9670901203044</v>
      </c>
      <c r="C34" s="178">
        <v>3750.6762988453243</v>
      </c>
      <c r="D34" s="178">
        <v>302.28559629166921</v>
      </c>
      <c r="E34" s="176">
        <v>7585.9289852572983</v>
      </c>
      <c r="F34" s="179">
        <v>0.30996780918852307</v>
      </c>
      <c r="AMB34"/>
      <c r="AMC34"/>
      <c r="AMD34"/>
      <c r="AME34"/>
      <c r="AMF34"/>
      <c r="AMG34"/>
      <c r="AMH34"/>
      <c r="AMI34"/>
      <c r="AMJ34"/>
      <c r="AMK34"/>
    </row>
    <row r="35" spans="1:1025" x14ac:dyDescent="0.2">
      <c r="A35" s="284" t="s">
        <v>60</v>
      </c>
      <c r="B35" s="178">
        <v>3652.0781721093936</v>
      </c>
      <c r="C35" s="178">
        <v>3770.6378335115337</v>
      </c>
      <c r="D35" s="178">
        <v>338.81535788446342</v>
      </c>
      <c r="E35" s="176">
        <v>7761.5313635053899</v>
      </c>
      <c r="F35" s="179">
        <v>0.31714307863536839</v>
      </c>
      <c r="AMB35"/>
      <c r="AMC35"/>
      <c r="AMD35"/>
      <c r="AME35"/>
      <c r="AMF35"/>
      <c r="AMG35"/>
      <c r="AMH35"/>
      <c r="AMI35"/>
      <c r="AMJ35"/>
      <c r="AMK35"/>
    </row>
    <row r="36" spans="1:1025" x14ac:dyDescent="0.2">
      <c r="A36" s="284" t="s">
        <v>194</v>
      </c>
      <c r="B36" s="178">
        <v>3638.1271309898025</v>
      </c>
      <c r="C36" s="178">
        <v>3824.2442207254308</v>
      </c>
      <c r="D36" s="178">
        <v>274.31646957484253</v>
      </c>
      <c r="E36" s="176">
        <v>7736.6878212900765</v>
      </c>
      <c r="F36" s="179">
        <v>0.31612794939174788</v>
      </c>
      <c r="AMB36"/>
      <c r="AMC36"/>
      <c r="AMD36"/>
      <c r="AME36"/>
      <c r="AMF36"/>
      <c r="AMG36"/>
      <c r="AMH36"/>
      <c r="AMI36"/>
      <c r="AMJ36"/>
      <c r="AMK36"/>
    </row>
    <row r="37" spans="1:1025" x14ac:dyDescent="0.2">
      <c r="A37" s="284" t="s">
        <v>195</v>
      </c>
      <c r="B37" s="178">
        <v>3871.1842831383724</v>
      </c>
      <c r="C37" s="178">
        <v>3779.4086052702382</v>
      </c>
      <c r="D37" s="178">
        <v>608.43029978032075</v>
      </c>
      <c r="E37" s="176">
        <v>8259.0231881889322</v>
      </c>
      <c r="F37" s="179">
        <v>0.33747103731861572</v>
      </c>
      <c r="AMB37"/>
      <c r="AMC37"/>
      <c r="AMD37"/>
      <c r="AME37"/>
      <c r="AMF37"/>
      <c r="AMG37"/>
      <c r="AMH37"/>
      <c r="AMI37"/>
      <c r="AMJ37"/>
      <c r="AMK37"/>
    </row>
    <row r="38" spans="1:1025" x14ac:dyDescent="0.2">
      <c r="A38" s="284" t="s">
        <v>61</v>
      </c>
      <c r="B38" s="178">
        <v>3695.8333145668898</v>
      </c>
      <c r="C38" s="178">
        <v>3802.066342373224</v>
      </c>
      <c r="D38" s="178">
        <v>386.90850875528304</v>
      </c>
      <c r="E38" s="176">
        <v>7884.8081656953964</v>
      </c>
      <c r="F38" s="179">
        <v>0.32218027847903491</v>
      </c>
      <c r="AMB38"/>
      <c r="AMC38"/>
      <c r="AMD38"/>
      <c r="AME38"/>
      <c r="AMF38"/>
      <c r="AMG38"/>
      <c r="AMH38"/>
      <c r="AMI38"/>
      <c r="AMJ38"/>
      <c r="AMK38"/>
    </row>
    <row r="39" spans="1:1025" x14ac:dyDescent="0.2">
      <c r="A39" s="284" t="s">
        <v>196</v>
      </c>
      <c r="B39" s="178">
        <v>3445.0292874560241</v>
      </c>
      <c r="C39" s="178">
        <v>3771.8377276507522</v>
      </c>
      <c r="D39" s="178">
        <v>302.59535296061807</v>
      </c>
      <c r="E39" s="176">
        <v>7519.462368067394</v>
      </c>
      <c r="F39" s="179">
        <v>0.30725192406033819</v>
      </c>
      <c r="AMB39"/>
      <c r="AMC39"/>
      <c r="AMD39"/>
      <c r="AME39"/>
      <c r="AMF39"/>
      <c r="AMG39"/>
      <c r="AMH39"/>
      <c r="AMI39"/>
      <c r="AMJ39"/>
      <c r="AMK39"/>
    </row>
    <row r="40" spans="1:1025" x14ac:dyDescent="0.2">
      <c r="A40" s="284" t="s">
        <v>62</v>
      </c>
      <c r="B40" s="178">
        <v>3876.2515558661789</v>
      </c>
      <c r="C40" s="178">
        <v>3797.6615338719498</v>
      </c>
      <c r="D40" s="178">
        <v>538.40218639991565</v>
      </c>
      <c r="E40" s="176">
        <v>8212.3152761380443</v>
      </c>
      <c r="F40" s="179">
        <v>0.33556251046602842</v>
      </c>
      <c r="AMB40"/>
      <c r="AMC40"/>
      <c r="AMD40"/>
      <c r="AME40"/>
      <c r="AMF40"/>
      <c r="AMG40"/>
      <c r="AMH40"/>
      <c r="AMI40"/>
      <c r="AMJ40"/>
      <c r="AMK40"/>
    </row>
    <row r="41" spans="1:1025" x14ac:dyDescent="0.2">
      <c r="A41" s="284" t="s">
        <v>197</v>
      </c>
      <c r="B41" s="178">
        <v>3578.192758563056</v>
      </c>
      <c r="C41" s="178">
        <v>3753.4648687153726</v>
      </c>
      <c r="D41" s="178">
        <v>190.65295564142932</v>
      </c>
      <c r="E41" s="176">
        <v>7522.3105829198576</v>
      </c>
      <c r="F41" s="179">
        <v>0.30736830465388609</v>
      </c>
      <c r="AMB41"/>
      <c r="AMC41"/>
      <c r="AMD41"/>
      <c r="AME41"/>
      <c r="AMF41"/>
      <c r="AMG41"/>
      <c r="AMH41"/>
      <c r="AMI41"/>
      <c r="AMJ41"/>
      <c r="AMK41"/>
    </row>
    <row r="42" spans="1:1025" x14ac:dyDescent="0.2">
      <c r="A42" s="284" t="s">
        <v>373</v>
      </c>
      <c r="B42" s="178">
        <v>3592.2915417229115</v>
      </c>
      <c r="C42" s="178">
        <v>3754.4598243439</v>
      </c>
      <c r="D42" s="178">
        <v>415.843909645</v>
      </c>
      <c r="E42" s="176">
        <v>7762.5952757118121</v>
      </c>
      <c r="F42" s="179">
        <v>0.31718655103491689</v>
      </c>
      <c r="AMB42"/>
      <c r="AMC42"/>
      <c r="AMD42"/>
      <c r="AME42"/>
      <c r="AMF42"/>
      <c r="AMG42"/>
      <c r="AMH42"/>
      <c r="AMI42"/>
      <c r="AMJ42"/>
      <c r="AMK42"/>
    </row>
    <row r="43" spans="1:1025" x14ac:dyDescent="0.2">
      <c r="A43" s="284" t="s">
        <v>198</v>
      </c>
      <c r="B43" s="178">
        <v>3851.0939901899956</v>
      </c>
      <c r="C43" s="178">
        <v>3805.9933744128793</v>
      </c>
      <c r="D43" s="178">
        <v>458.92672870564951</v>
      </c>
      <c r="E43" s="176">
        <v>8116.014093308524</v>
      </c>
      <c r="F43" s="179">
        <v>0.33162755843550695</v>
      </c>
      <c r="AMB43"/>
      <c r="AMC43"/>
      <c r="AMD43"/>
      <c r="AME43"/>
      <c r="AMF43"/>
      <c r="AMG43"/>
      <c r="AMH43"/>
      <c r="AMI43"/>
      <c r="AMJ43"/>
      <c r="AMK43"/>
    </row>
    <row r="44" spans="1:1025" x14ac:dyDescent="0.2">
      <c r="A44" s="284" t="s">
        <v>199</v>
      </c>
      <c r="B44" s="178">
        <v>3573.1604928758702</v>
      </c>
      <c r="C44" s="178">
        <v>3820.4268417128433</v>
      </c>
      <c r="D44" s="178">
        <v>314.7547023270061</v>
      </c>
      <c r="E44" s="176">
        <v>7708.3420369157202</v>
      </c>
      <c r="F44" s="179">
        <v>0.3149697154168023</v>
      </c>
      <c r="AMB44"/>
      <c r="AMC44"/>
      <c r="AMD44"/>
      <c r="AME44"/>
      <c r="AMF44"/>
      <c r="AMG44"/>
      <c r="AMH44"/>
      <c r="AMI44"/>
      <c r="AMJ44"/>
      <c r="AMK44"/>
    </row>
    <row r="45" spans="1:1025" x14ac:dyDescent="0.2">
      <c r="A45" s="284" t="s">
        <v>200</v>
      </c>
      <c r="B45" s="178">
        <v>3562.6698690831872</v>
      </c>
      <c r="C45" s="178">
        <v>3760.2950398762364</v>
      </c>
      <c r="D45" s="178">
        <v>340.75819723027212</v>
      </c>
      <c r="E45" s="176">
        <v>7663.7231061896964</v>
      </c>
      <c r="F45" s="179">
        <v>0.31314654620016996</v>
      </c>
      <c r="AMB45"/>
      <c r="AMC45"/>
      <c r="AMD45"/>
      <c r="AME45"/>
      <c r="AMF45"/>
      <c r="AMG45"/>
      <c r="AMH45"/>
      <c r="AMI45"/>
      <c r="AMJ45"/>
      <c r="AMK45"/>
    </row>
    <row r="46" spans="1:1025" ht="12.75" customHeight="1" x14ac:dyDescent="0.2">
      <c r="A46" s="284" t="s">
        <v>201</v>
      </c>
      <c r="B46" s="178">
        <v>4299.7317771190201</v>
      </c>
      <c r="C46" s="178">
        <v>3800.3238748804938</v>
      </c>
      <c r="D46" s="178">
        <v>662.83469311025294</v>
      </c>
      <c r="E46" s="176">
        <v>8762.8903451097667</v>
      </c>
      <c r="F46" s="179">
        <v>0.35805949775059842</v>
      </c>
      <c r="AMB46"/>
      <c r="AMC46"/>
      <c r="AMD46"/>
      <c r="AME46"/>
      <c r="AMF46"/>
      <c r="AMG46"/>
      <c r="AMH46"/>
      <c r="AMI46"/>
      <c r="AMJ46"/>
      <c r="AMK46"/>
    </row>
    <row r="47" spans="1:1025" x14ac:dyDescent="0.2">
      <c r="A47" s="284" t="s">
        <v>202</v>
      </c>
      <c r="B47" s="178">
        <v>3587.1964240190237</v>
      </c>
      <c r="C47" s="178">
        <v>3762.5803930674201</v>
      </c>
      <c r="D47" s="178">
        <v>374.61417416380442</v>
      </c>
      <c r="E47" s="176">
        <v>7724.3909912502486</v>
      </c>
      <c r="F47" s="179">
        <v>0.31562548997315637</v>
      </c>
      <c r="AMB47"/>
      <c r="AMC47"/>
      <c r="AMD47"/>
      <c r="AME47"/>
      <c r="AMF47"/>
      <c r="AMG47"/>
      <c r="AMH47"/>
      <c r="AMI47"/>
      <c r="AMJ47"/>
      <c r="AMK47"/>
    </row>
    <row r="48" spans="1:1025" x14ac:dyDescent="0.2">
      <c r="A48" s="284" t="s">
        <v>203</v>
      </c>
      <c r="B48" s="178">
        <v>3791.4869011232067</v>
      </c>
      <c r="C48" s="178">
        <v>3745.3673955041882</v>
      </c>
      <c r="D48" s="178">
        <v>481.25171274572705</v>
      </c>
      <c r="E48" s="176">
        <v>8018.1060093731212</v>
      </c>
      <c r="F48" s="179">
        <v>0.3276269469957897</v>
      </c>
      <c r="AMB48"/>
      <c r="AMC48"/>
      <c r="AMD48"/>
      <c r="AME48"/>
      <c r="AMF48"/>
      <c r="AMG48"/>
      <c r="AMH48"/>
      <c r="AMI48"/>
      <c r="AMJ48"/>
      <c r="AMK48"/>
    </row>
    <row r="49" spans="1:1025" x14ac:dyDescent="0.2">
      <c r="A49" s="284" t="s">
        <v>230</v>
      </c>
      <c r="B49" s="178">
        <v>3581.2220277610218</v>
      </c>
      <c r="C49" s="178">
        <v>3759.8765136433594</v>
      </c>
      <c r="D49" s="178">
        <v>464.31259695605058</v>
      </c>
      <c r="E49" s="176">
        <v>7805.4111383604313</v>
      </c>
      <c r="F49" s="179">
        <v>0.31893604528532465</v>
      </c>
      <c r="AMB49"/>
      <c r="AMC49"/>
      <c r="AMD49"/>
      <c r="AME49"/>
      <c r="AMF49"/>
      <c r="AMG49"/>
      <c r="AMH49"/>
      <c r="AMI49"/>
      <c r="AMJ49"/>
      <c r="AMK49"/>
    </row>
    <row r="50" spans="1:1025" x14ac:dyDescent="0.2">
      <c r="A50" s="284" t="s">
        <v>63</v>
      </c>
      <c r="B50" s="178">
        <v>4113.6976030566293</v>
      </c>
      <c r="C50" s="178">
        <v>3815.1811413874389</v>
      </c>
      <c r="D50" s="178">
        <v>563.30869516165342</v>
      </c>
      <c r="E50" s="176">
        <v>8492.187439605721</v>
      </c>
      <c r="F50" s="179">
        <v>0.34699833612845193</v>
      </c>
      <c r="AMB50"/>
      <c r="AMC50"/>
      <c r="AMD50"/>
      <c r="AME50"/>
      <c r="AMF50"/>
      <c r="AMG50"/>
      <c r="AMH50"/>
      <c r="AMI50"/>
      <c r="AMJ50"/>
      <c r="AMK50"/>
    </row>
    <row r="51" spans="1:1025" x14ac:dyDescent="0.2">
      <c r="A51" s="284" t="s">
        <v>204</v>
      </c>
      <c r="B51" s="178">
        <v>3607.5299681812771</v>
      </c>
      <c r="C51" s="178">
        <v>3793.4264574314839</v>
      </c>
      <c r="D51" s="178">
        <v>279.53423488732443</v>
      </c>
      <c r="E51" s="176">
        <v>7680.4906605000861</v>
      </c>
      <c r="F51" s="179">
        <v>0.3138316833910324</v>
      </c>
      <c r="AMB51"/>
      <c r="AMC51"/>
      <c r="AMD51"/>
      <c r="AME51"/>
      <c r="AMF51"/>
      <c r="AMG51"/>
      <c r="AMH51"/>
      <c r="AMI51"/>
      <c r="AMJ51"/>
      <c r="AMK51"/>
    </row>
    <row r="52" spans="1:1025" x14ac:dyDescent="0.2">
      <c r="A52" s="284" t="s">
        <v>375</v>
      </c>
      <c r="B52" s="178">
        <v>3860.1848619806874</v>
      </c>
      <c r="C52" s="178">
        <v>3776.946862089932</v>
      </c>
      <c r="D52" s="178">
        <v>459.68066305377391</v>
      </c>
      <c r="E52" s="176">
        <v>8096.8123871243934</v>
      </c>
      <c r="F52" s="179">
        <v>0.33084295963288912</v>
      </c>
      <c r="AMB52"/>
      <c r="AMC52"/>
      <c r="AMD52"/>
      <c r="AME52"/>
      <c r="AMF52"/>
      <c r="AMG52"/>
      <c r="AMH52"/>
      <c r="AMI52"/>
      <c r="AMJ52"/>
      <c r="AMK52"/>
    </row>
    <row r="53" spans="1:1025" x14ac:dyDescent="0.2">
      <c r="A53" s="284" t="s">
        <v>205</v>
      </c>
      <c r="B53" s="178">
        <v>3509.4025305736318</v>
      </c>
      <c r="C53" s="178">
        <v>3758.0170361522873</v>
      </c>
      <c r="D53" s="178">
        <v>249.74513085761311</v>
      </c>
      <c r="E53" s="176">
        <v>7517.164697583532</v>
      </c>
      <c r="F53" s="179">
        <v>0.30715803919963042</v>
      </c>
      <c r="AMB53"/>
      <c r="AMC53"/>
      <c r="AMD53"/>
      <c r="AME53"/>
      <c r="AMF53"/>
      <c r="AMG53"/>
      <c r="AMH53"/>
      <c r="AMI53"/>
      <c r="AMJ53"/>
      <c r="AMK53"/>
    </row>
    <row r="54" spans="1:1025" x14ac:dyDescent="0.2">
      <c r="A54" s="284" t="s">
        <v>64</v>
      </c>
      <c r="B54" s="178">
        <v>3856.9224719286808</v>
      </c>
      <c r="C54" s="178">
        <v>3764.7081862284022</v>
      </c>
      <c r="D54" s="178">
        <v>430.6801449394577</v>
      </c>
      <c r="E54" s="176">
        <v>8052.3108030965404</v>
      </c>
      <c r="F54" s="179">
        <v>0.32902458530677292</v>
      </c>
      <c r="AMB54"/>
      <c r="AMC54"/>
      <c r="AMD54"/>
      <c r="AME54"/>
      <c r="AMF54"/>
      <c r="AMG54"/>
      <c r="AMH54"/>
      <c r="AMI54"/>
      <c r="AMJ54"/>
      <c r="AMK54"/>
    </row>
    <row r="55" spans="1:1025" x14ac:dyDescent="0.2">
      <c r="A55" s="284" t="s">
        <v>206</v>
      </c>
      <c r="B55" s="178">
        <v>3936.8172551360749</v>
      </c>
      <c r="C55" s="178">
        <v>3775.7512563230116</v>
      </c>
      <c r="D55" s="178">
        <v>417.74945355894857</v>
      </c>
      <c r="E55" s="176">
        <v>8130.3179650180355</v>
      </c>
      <c r="F55" s="179">
        <v>0.33221202736282324</v>
      </c>
      <c r="AMB55"/>
      <c r="AMC55"/>
      <c r="AMD55"/>
      <c r="AME55"/>
      <c r="AMF55"/>
      <c r="AMG55"/>
      <c r="AMH55"/>
      <c r="AMI55"/>
      <c r="AMJ55"/>
      <c r="AMK55"/>
    </row>
    <row r="56" spans="1:1025" x14ac:dyDescent="0.2">
      <c r="A56" s="284" t="s">
        <v>207</v>
      </c>
      <c r="B56" s="178">
        <v>3968.5777529274906</v>
      </c>
      <c r="C56" s="178">
        <v>3806.292480353894</v>
      </c>
      <c r="D56" s="178">
        <v>791.28977932661508</v>
      </c>
      <c r="E56" s="176">
        <v>8566.1600126079993</v>
      </c>
      <c r="F56" s="179">
        <v>0.3500209212908118</v>
      </c>
      <c r="AMB56"/>
      <c r="AMC56"/>
      <c r="AMD56"/>
      <c r="AME56"/>
      <c r="AMF56"/>
      <c r="AMG56"/>
      <c r="AMH56"/>
      <c r="AMI56"/>
      <c r="AMJ56"/>
      <c r="AMK56"/>
    </row>
    <row r="57" spans="1:1025" x14ac:dyDescent="0.2">
      <c r="A57" s="284" t="s">
        <v>208</v>
      </c>
      <c r="B57" s="178">
        <v>3490.9609152703979</v>
      </c>
      <c r="C57" s="178">
        <v>3760.94076298965</v>
      </c>
      <c r="D57" s="178">
        <v>262.67629304169009</v>
      </c>
      <c r="E57" s="176">
        <v>7514.5779713017382</v>
      </c>
      <c r="F57" s="179">
        <v>0.30705234326178338</v>
      </c>
      <c r="AMB57"/>
      <c r="AMC57"/>
      <c r="AMD57"/>
      <c r="AME57"/>
      <c r="AMF57"/>
      <c r="AMG57"/>
      <c r="AMH57"/>
      <c r="AMI57"/>
      <c r="AMJ57"/>
      <c r="AMK57"/>
    </row>
    <row r="58" spans="1:1025" x14ac:dyDescent="0.2">
      <c r="A58" s="285" t="s">
        <v>166</v>
      </c>
      <c r="B58" s="176">
        <v>3847.9998793534864</v>
      </c>
      <c r="C58" s="176">
        <v>3750.3335590073461</v>
      </c>
      <c r="D58" s="176">
        <v>412.99420722495347</v>
      </c>
      <c r="E58" s="176">
        <v>8011.3276455857858</v>
      </c>
      <c r="F58" s="177">
        <v>0.32734997701925467</v>
      </c>
      <c r="AMB58"/>
      <c r="AMC58"/>
      <c r="AMD58"/>
      <c r="AME58"/>
      <c r="AMF58"/>
      <c r="AMG58"/>
      <c r="AMH58"/>
      <c r="AMI58"/>
      <c r="AMJ58"/>
      <c r="AMK58"/>
    </row>
    <row r="59" spans="1:1025" x14ac:dyDescent="0.2">
      <c r="A59" s="286" t="s">
        <v>209</v>
      </c>
      <c r="B59" s="180">
        <v>3796.9529459974165</v>
      </c>
      <c r="C59" s="180">
        <v>3752.3270861924007</v>
      </c>
      <c r="D59" s="180">
        <v>362.38203957712949</v>
      </c>
      <c r="E59" s="176">
        <v>7911.6620717669466</v>
      </c>
      <c r="F59" s="172">
        <v>0.32327755297887922</v>
      </c>
      <c r="AMB59"/>
      <c r="AMC59"/>
      <c r="AMD59"/>
      <c r="AME59"/>
      <c r="AMF59"/>
      <c r="AMG59"/>
      <c r="AMH59"/>
      <c r="AMI59"/>
      <c r="AMJ59"/>
      <c r="AMK59"/>
    </row>
    <row r="60" spans="1:1025" x14ac:dyDescent="0.2">
      <c r="A60" s="286" t="s">
        <v>210</v>
      </c>
      <c r="B60" s="180">
        <v>3738.0926938442749</v>
      </c>
      <c r="C60" s="180">
        <v>3753.6871747114305</v>
      </c>
      <c r="D60" s="180">
        <v>481.90006392580506</v>
      </c>
      <c r="E60" s="176">
        <v>7973.6799324815101</v>
      </c>
      <c r="F60" s="172">
        <v>0.32581165795845546</v>
      </c>
      <c r="AMB60"/>
      <c r="AMC60"/>
      <c r="AMD60"/>
      <c r="AME60"/>
      <c r="AMF60"/>
      <c r="AMG60"/>
      <c r="AMH60"/>
      <c r="AMI60"/>
      <c r="AMJ60"/>
      <c r="AMK60"/>
    </row>
    <row r="61" spans="1:1025" x14ac:dyDescent="0.2">
      <c r="A61" s="286" t="s">
        <v>211</v>
      </c>
      <c r="B61" s="180">
        <v>3695.598875944785</v>
      </c>
      <c r="C61" s="180">
        <v>3750.3920720388433</v>
      </c>
      <c r="D61" s="180">
        <v>378.79539361234544</v>
      </c>
      <c r="E61" s="176">
        <v>7824.7863415959737</v>
      </c>
      <c r="F61" s="172">
        <v>0.31972773333186122</v>
      </c>
      <c r="AMB61"/>
      <c r="AMC61"/>
      <c r="AMD61"/>
      <c r="AME61"/>
      <c r="AMF61"/>
      <c r="AMG61"/>
      <c r="AMH61"/>
      <c r="AMI61"/>
      <c r="AMJ61"/>
      <c r="AMK61"/>
    </row>
    <row r="62" spans="1:1025" x14ac:dyDescent="0.2">
      <c r="A62" s="286" t="s">
        <v>68</v>
      </c>
      <c r="B62" s="180">
        <v>3895.1488331597861</v>
      </c>
      <c r="C62" s="180">
        <v>3738.1760053914422</v>
      </c>
      <c r="D62" s="180">
        <v>365.10998717738988</v>
      </c>
      <c r="E62" s="176">
        <v>7998.4348257286183</v>
      </c>
      <c r="F62" s="172">
        <v>0.32682316492634489</v>
      </c>
      <c r="AMB62"/>
      <c r="AMC62"/>
      <c r="AMD62"/>
      <c r="AME62"/>
      <c r="AMF62"/>
      <c r="AMG62"/>
      <c r="AMH62"/>
      <c r="AMI62"/>
      <c r="AMJ62"/>
      <c r="AMK62"/>
    </row>
    <row r="63" spans="1:1025" x14ac:dyDescent="0.2">
      <c r="A63" s="286" t="s">
        <v>374</v>
      </c>
      <c r="B63" s="180">
        <v>4182.0086330915128</v>
      </c>
      <c r="C63" s="180">
        <v>3770.9851709999134</v>
      </c>
      <c r="D63" s="180">
        <v>520.84697191379632</v>
      </c>
      <c r="E63" s="176">
        <v>8473.8407760052214</v>
      </c>
      <c r="F63" s="172">
        <v>0.34624867512671864</v>
      </c>
      <c r="AMB63"/>
      <c r="AMC63"/>
      <c r="AMD63"/>
      <c r="AME63"/>
      <c r="AMF63"/>
      <c r="AMG63"/>
      <c r="AMH63"/>
      <c r="AMI63"/>
      <c r="AMJ63"/>
      <c r="AMK63"/>
    </row>
    <row r="64" spans="1:1025" x14ac:dyDescent="0.2">
      <c r="A64" s="286" t="s">
        <v>212</v>
      </c>
      <c r="B64" s="180">
        <v>4065.5906398809079</v>
      </c>
      <c r="C64" s="180">
        <v>3770.8239487806236</v>
      </c>
      <c r="D64" s="180">
        <v>485.59672922172319</v>
      </c>
      <c r="E64" s="176">
        <v>8322.0113178832544</v>
      </c>
      <c r="F64" s="172">
        <v>0.34004478835216423</v>
      </c>
      <c r="AMB64"/>
      <c r="AMC64"/>
      <c r="AMD64"/>
      <c r="AME64"/>
      <c r="AMF64"/>
      <c r="AMG64"/>
      <c r="AMH64"/>
      <c r="AMI64"/>
      <c r="AMJ64"/>
      <c r="AMK64"/>
    </row>
    <row r="65" spans="1:1025" x14ac:dyDescent="0.2">
      <c r="A65" s="286" t="s">
        <v>376</v>
      </c>
      <c r="B65" s="180">
        <v>3811.7988894747477</v>
      </c>
      <c r="C65" s="180">
        <v>3744.9689566508446</v>
      </c>
      <c r="D65" s="180">
        <v>229.89553226460473</v>
      </c>
      <c r="E65" s="176">
        <v>7786.6633783901971</v>
      </c>
      <c r="F65" s="172">
        <v>0.31816999512898131</v>
      </c>
      <c r="AMB65"/>
      <c r="AMC65"/>
      <c r="AMD65"/>
      <c r="AME65"/>
      <c r="AMF65"/>
      <c r="AMG65"/>
      <c r="AMH65"/>
      <c r="AMI65"/>
      <c r="AMJ65"/>
      <c r="AMK65"/>
    </row>
    <row r="66" spans="1:1025" x14ac:dyDescent="0.2">
      <c r="A66" s="286" t="s">
        <v>377</v>
      </c>
      <c r="B66" s="180">
        <v>3954.6400315730216</v>
      </c>
      <c r="C66" s="180">
        <v>3766.8167654157846</v>
      </c>
      <c r="D66" s="180">
        <v>575.94684700564062</v>
      </c>
      <c r="E66" s="176">
        <v>8297.4036439944466</v>
      </c>
      <c r="F66" s="172">
        <v>0.33903929689826806</v>
      </c>
      <c r="AMB66"/>
      <c r="AMC66"/>
      <c r="AMD66"/>
      <c r="AME66"/>
      <c r="AMF66"/>
      <c r="AMG66"/>
      <c r="AMH66"/>
      <c r="AMI66"/>
      <c r="AMJ66"/>
      <c r="AMK66"/>
    </row>
    <row r="67" spans="1:1025" x14ac:dyDescent="0.2">
      <c r="A67" s="285" t="s">
        <v>167</v>
      </c>
      <c r="B67" s="176">
        <v>3787.8940559797106</v>
      </c>
      <c r="C67" s="176">
        <v>3785.8094082179969</v>
      </c>
      <c r="D67" s="176">
        <v>448.4687797423469</v>
      </c>
      <c r="E67" s="176">
        <v>8022.1722439400546</v>
      </c>
      <c r="F67" s="177">
        <v>0.32779309695880787</v>
      </c>
      <c r="AMB67"/>
      <c r="AMC67"/>
      <c r="AMD67"/>
      <c r="AME67"/>
      <c r="AMF67"/>
      <c r="AMG67"/>
      <c r="AMH67"/>
      <c r="AMI67"/>
      <c r="AMJ67"/>
      <c r="AMK67"/>
    </row>
    <row r="68" spans="1:1025" x14ac:dyDescent="0.2">
      <c r="A68" s="287" t="s">
        <v>70</v>
      </c>
      <c r="B68" s="178">
        <v>3850.8861815389414</v>
      </c>
      <c r="C68" s="178">
        <v>3763.3863238195213</v>
      </c>
      <c r="D68" s="178">
        <v>462.96461274690478</v>
      </c>
      <c r="E68" s="176">
        <v>8077.2371181053677</v>
      </c>
      <c r="F68" s="179">
        <v>0.33004309672039739</v>
      </c>
      <c r="AMB68"/>
      <c r="AMC68"/>
      <c r="AMD68"/>
      <c r="AME68"/>
      <c r="AMF68"/>
      <c r="AMG68"/>
      <c r="AMH68"/>
      <c r="AMI68"/>
      <c r="AMJ68"/>
      <c r="AMK68"/>
    </row>
    <row r="69" spans="1:1025" x14ac:dyDescent="0.2">
      <c r="A69" s="287" t="s">
        <v>213</v>
      </c>
      <c r="B69" s="178">
        <v>3759.0645694080881</v>
      </c>
      <c r="C69" s="178">
        <v>3765.1481911096803</v>
      </c>
      <c r="D69" s="178">
        <v>385.13778613050175</v>
      </c>
      <c r="E69" s="176">
        <v>7909.3505466482702</v>
      </c>
      <c r="F69" s="179">
        <v>0.32318310200546346</v>
      </c>
      <c r="AMB69"/>
      <c r="AMC69"/>
      <c r="AMD69"/>
      <c r="AME69"/>
      <c r="AMF69"/>
      <c r="AMG69"/>
      <c r="AMH69"/>
      <c r="AMI69"/>
      <c r="AMJ69"/>
      <c r="AMK69"/>
    </row>
    <row r="70" spans="1:1025" x14ac:dyDescent="0.2">
      <c r="A70" s="287" t="s">
        <v>214</v>
      </c>
      <c r="B70" s="178">
        <v>3771.0861430155046</v>
      </c>
      <c r="C70" s="178">
        <v>3785.2135447658902</v>
      </c>
      <c r="D70" s="178">
        <v>504.27354256675221</v>
      </c>
      <c r="E70" s="176">
        <v>8060.5732303481473</v>
      </c>
      <c r="F70" s="179">
        <v>0.32936219543715212</v>
      </c>
      <c r="AMB70"/>
      <c r="AMC70"/>
      <c r="AMD70"/>
      <c r="AME70"/>
      <c r="AMF70"/>
      <c r="AMG70"/>
      <c r="AMH70"/>
      <c r="AMI70"/>
      <c r="AMJ70"/>
      <c r="AMK70"/>
    </row>
    <row r="71" spans="1:1025" x14ac:dyDescent="0.2">
      <c r="A71" s="287" t="s">
        <v>215</v>
      </c>
      <c r="B71" s="178">
        <v>3809.1300869202591</v>
      </c>
      <c r="C71" s="178">
        <v>3788.6532110350099</v>
      </c>
      <c r="D71" s="178">
        <v>437.63768122713822</v>
      </c>
      <c r="E71" s="176">
        <v>8035.4209791824078</v>
      </c>
      <c r="F71" s="179">
        <v>0.32833445207109169</v>
      </c>
      <c r="AMB71"/>
      <c r="AMC71"/>
      <c r="AMD71"/>
      <c r="AME71"/>
      <c r="AMF71"/>
      <c r="AMG71"/>
      <c r="AMH71"/>
      <c r="AMI71"/>
      <c r="AMJ71"/>
      <c r="AMK71"/>
    </row>
    <row r="72" spans="1:1025" x14ac:dyDescent="0.2">
      <c r="A72" s="287" t="s">
        <v>71</v>
      </c>
      <c r="B72" s="178">
        <v>3736.1667477017859</v>
      </c>
      <c r="C72" s="178">
        <v>3828.1605342173984</v>
      </c>
      <c r="D72" s="178">
        <v>435.5173977013107</v>
      </c>
      <c r="E72" s="176">
        <v>7999.8446796204953</v>
      </c>
      <c r="F72" s="179">
        <v>0.32688077281102063</v>
      </c>
      <c r="AMB72"/>
      <c r="AMC72"/>
      <c r="AMD72"/>
      <c r="AME72"/>
      <c r="AMF72"/>
      <c r="AMG72"/>
      <c r="AMH72"/>
      <c r="AMI72"/>
      <c r="AMJ72"/>
      <c r="AMK72"/>
    </row>
    <row r="73" spans="1:1025" x14ac:dyDescent="0.2">
      <c r="A73" s="171" t="s">
        <v>73</v>
      </c>
      <c r="B73" s="176">
        <v>3820.9144156650473</v>
      </c>
      <c r="C73" s="176">
        <v>3737.3098605522855</v>
      </c>
      <c r="D73" s="176">
        <v>648.3208349950213</v>
      </c>
      <c r="E73" s="176">
        <v>8206.5451112123537</v>
      </c>
      <c r="F73" s="177">
        <v>0.33532673639219396</v>
      </c>
      <c r="AMB73"/>
      <c r="AMC73"/>
      <c r="AMD73"/>
      <c r="AME73"/>
      <c r="AMF73"/>
      <c r="AMG73"/>
      <c r="AMH73"/>
      <c r="AMI73"/>
      <c r="AMJ73"/>
      <c r="AMK73"/>
    </row>
    <row r="74" spans="1:1025" x14ac:dyDescent="0.2">
      <c r="A74" s="280" t="s">
        <v>386</v>
      </c>
      <c r="B74" s="280"/>
      <c r="C74" s="280"/>
      <c r="D74" s="280"/>
      <c r="E74" s="280"/>
      <c r="F74" s="280"/>
    </row>
    <row r="75" spans="1:1025" x14ac:dyDescent="0.2">
      <c r="B75"/>
      <c r="C75"/>
    </row>
  </sheetData>
  <mergeCells count="5">
    <mergeCell ref="A1:F1"/>
    <mergeCell ref="A2:A3"/>
    <mergeCell ref="B2:E2"/>
    <mergeCell ref="F2:F3"/>
    <mergeCell ref="A74:F7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58ED5"/>
  </sheetPr>
  <dimension ref="A1:AMK27"/>
  <sheetViews>
    <sheetView tabSelected="1" zoomScale="130" zoomScaleNormal="130" workbookViewId="0">
      <selection activeCell="C3" sqref="C3"/>
    </sheetView>
  </sheetViews>
  <sheetFormatPr baseColWidth="10" defaultColWidth="9.140625" defaultRowHeight="12.75" x14ac:dyDescent="0.2"/>
  <cols>
    <col min="1" max="1" width="8.140625" style="27"/>
    <col min="2" max="3" width="11" style="27"/>
    <col min="4" max="4" width="9.7109375" style="27"/>
    <col min="5" max="5" width="11.85546875" style="27" bestFit="1" customWidth="1"/>
    <col min="6" max="1025" width="11" style="27"/>
  </cols>
  <sheetData>
    <row r="1" spans="1:7" x14ac:dyDescent="0.2">
      <c r="A1" s="281" t="s">
        <v>250</v>
      </c>
      <c r="B1" s="281"/>
      <c r="C1" s="281"/>
      <c r="D1" s="281"/>
      <c r="E1" s="281"/>
      <c r="F1" s="281"/>
      <c r="G1"/>
    </row>
    <row r="2" spans="1:7" ht="33.75" x14ac:dyDescent="0.2">
      <c r="A2" s="181"/>
      <c r="B2" s="207" t="s">
        <v>225</v>
      </c>
      <c r="C2" s="207" t="s">
        <v>1</v>
      </c>
      <c r="D2" s="208" t="s">
        <v>226</v>
      </c>
      <c r="E2" s="208" t="s">
        <v>227</v>
      </c>
      <c r="F2" s="208" t="s">
        <v>10</v>
      </c>
      <c r="G2"/>
    </row>
    <row r="3" spans="1:7" x14ac:dyDescent="0.2">
      <c r="A3" s="182">
        <v>2001</v>
      </c>
      <c r="B3" s="183">
        <v>950491.98</v>
      </c>
      <c r="C3" s="183">
        <v>62883.62</v>
      </c>
      <c r="D3" s="183">
        <v>7.08461330850918</v>
      </c>
      <c r="E3" s="183">
        <v>17789707</v>
      </c>
      <c r="F3" s="184">
        <f t="shared" ref="F3:F23" si="0">B3/E3</f>
        <v>5.3429321798273574E-2</v>
      </c>
      <c r="G3"/>
    </row>
    <row r="4" spans="1:7" x14ac:dyDescent="0.2">
      <c r="A4" s="182">
        <v>2002</v>
      </c>
      <c r="B4" s="183">
        <v>1069802.54</v>
      </c>
      <c r="C4" s="183">
        <f t="shared" ref="C4:C23" si="1">B4-B3</f>
        <v>119310.56000000006</v>
      </c>
      <c r="D4" s="185">
        <f t="shared" ref="D4:D23" si="2">((B4/B3)-1)*100</f>
        <v>12.552505703414774</v>
      </c>
      <c r="E4" s="183">
        <v>18780108</v>
      </c>
      <c r="F4" s="184">
        <f t="shared" si="0"/>
        <v>5.6964663887981902E-2</v>
      </c>
      <c r="G4"/>
    </row>
    <row r="5" spans="1:7" x14ac:dyDescent="0.2">
      <c r="A5" s="182">
        <v>2003</v>
      </c>
      <c r="B5" s="183">
        <v>1796610</v>
      </c>
      <c r="C5" s="183">
        <f t="shared" si="1"/>
        <v>726807.46</v>
      </c>
      <c r="D5" s="185">
        <f t="shared" si="2"/>
        <v>67.93846834575659</v>
      </c>
      <c r="E5" s="183">
        <v>19692948</v>
      </c>
      <c r="F5" s="184">
        <f t="shared" si="0"/>
        <v>9.1231135125121945E-2</v>
      </c>
      <c r="G5"/>
    </row>
    <row r="6" spans="1:7" x14ac:dyDescent="0.2">
      <c r="A6" s="182">
        <v>2004</v>
      </c>
      <c r="B6" s="183">
        <v>1859185.68</v>
      </c>
      <c r="C6" s="183">
        <f t="shared" si="1"/>
        <v>62575.679999999935</v>
      </c>
      <c r="D6" s="185">
        <f t="shared" si="2"/>
        <v>3.482986290847756</v>
      </c>
      <c r="E6" s="183">
        <v>20983851</v>
      </c>
      <c r="F6" s="184">
        <f t="shared" si="0"/>
        <v>8.8600785432569065E-2</v>
      </c>
      <c r="G6"/>
    </row>
    <row r="7" spans="1:7" x14ac:dyDescent="0.2">
      <c r="A7" s="182">
        <v>2005</v>
      </c>
      <c r="B7" s="183">
        <v>2587788.9670000002</v>
      </c>
      <c r="C7" s="183">
        <f t="shared" si="1"/>
        <v>728603.28700000024</v>
      </c>
      <c r="D7" s="185">
        <f t="shared" si="2"/>
        <v>39.189377093308941</v>
      </c>
      <c r="E7" s="183">
        <v>22602678</v>
      </c>
      <c r="F7" s="184">
        <f t="shared" si="0"/>
        <v>0.11449036999067103</v>
      </c>
      <c r="G7"/>
    </row>
    <row r="8" spans="1:7" x14ac:dyDescent="0.2">
      <c r="A8" s="182">
        <v>2006</v>
      </c>
      <c r="B8" s="183">
        <v>2713974.46</v>
      </c>
      <c r="C8" s="183">
        <f t="shared" si="1"/>
        <v>126185.49299999978</v>
      </c>
      <c r="D8" s="185">
        <f t="shared" si="2"/>
        <v>4.8761894655685811</v>
      </c>
      <c r="E8" s="183">
        <v>24429529</v>
      </c>
      <c r="F8" s="184">
        <f t="shared" si="0"/>
        <v>0.11109401495215074</v>
      </c>
      <c r="G8"/>
    </row>
    <row r="9" spans="1:7" x14ac:dyDescent="0.2">
      <c r="A9" s="182">
        <v>2007</v>
      </c>
      <c r="B9" s="183">
        <v>2894384.59</v>
      </c>
      <c r="C9" s="183">
        <f t="shared" si="1"/>
        <v>180410.12999999989</v>
      </c>
      <c r="D9" s="185">
        <f t="shared" si="2"/>
        <v>6.6474512807316533</v>
      </c>
      <c r="E9" s="183">
        <v>26144862</v>
      </c>
      <c r="F9" s="184">
        <f t="shared" si="0"/>
        <v>0.11070567478994534</v>
      </c>
      <c r="G9"/>
    </row>
    <row r="10" spans="1:7" x14ac:dyDescent="0.2">
      <c r="A10" s="182">
        <v>2008</v>
      </c>
      <c r="B10" s="183">
        <v>3787267.26</v>
      </c>
      <c r="C10" s="183">
        <f t="shared" si="1"/>
        <v>892882.66999999993</v>
      </c>
      <c r="D10" s="185">
        <f t="shared" si="2"/>
        <v>30.848791590615821</v>
      </c>
      <c r="E10" s="183">
        <v>27193863</v>
      </c>
      <c r="F10" s="184">
        <f t="shared" si="0"/>
        <v>0.13926918952265074</v>
      </c>
      <c r="G10"/>
    </row>
    <row r="11" spans="1:7" x14ac:dyDescent="0.2">
      <c r="A11" s="182">
        <v>2009</v>
      </c>
      <c r="B11" s="183">
        <v>4037475.55</v>
      </c>
      <c r="C11" s="183">
        <f t="shared" si="1"/>
        <v>250208.29000000004</v>
      </c>
      <c r="D11" s="185">
        <f t="shared" si="2"/>
        <v>6.6065654421230358</v>
      </c>
      <c r="E11" s="183">
        <v>26153141</v>
      </c>
      <c r="F11" s="184">
        <f t="shared" si="0"/>
        <v>0.1543782274565032</v>
      </c>
      <c r="G11"/>
    </row>
    <row r="12" spans="1:7" x14ac:dyDescent="0.2">
      <c r="A12" s="182">
        <v>2010</v>
      </c>
      <c r="B12" s="183">
        <v>3844797.764</v>
      </c>
      <c r="C12" s="183">
        <f t="shared" si="1"/>
        <v>-192677.78599999985</v>
      </c>
      <c r="D12" s="185">
        <f t="shared" si="2"/>
        <v>-4.7722341253558787</v>
      </c>
      <c r="E12" s="183">
        <v>26194558</v>
      </c>
      <c r="F12" s="184">
        <f t="shared" si="0"/>
        <v>0.14677849360924508</v>
      </c>
      <c r="G12"/>
    </row>
    <row r="13" spans="1:7" x14ac:dyDescent="0.2">
      <c r="A13" s="182">
        <v>2011</v>
      </c>
      <c r="B13" s="183">
        <v>3384430.2749999999</v>
      </c>
      <c r="C13" s="183">
        <f t="shared" si="1"/>
        <v>-460367.48900000006</v>
      </c>
      <c r="D13" s="185">
        <f t="shared" si="2"/>
        <v>-11.9737764443831</v>
      </c>
      <c r="E13" s="183">
        <v>26030098</v>
      </c>
      <c r="F13" s="184">
        <f t="shared" si="0"/>
        <v>0.1300198821763944</v>
      </c>
      <c r="G13"/>
    </row>
    <row r="14" spans="1:7" x14ac:dyDescent="0.2">
      <c r="A14" s="182">
        <v>2012</v>
      </c>
      <c r="B14" s="183">
        <v>3674902.3220000002</v>
      </c>
      <c r="C14" s="183">
        <f t="shared" si="1"/>
        <v>290472.04700000025</v>
      </c>
      <c r="D14" s="185">
        <f t="shared" si="2"/>
        <v>8.5825980563301929</v>
      </c>
      <c r="E14" s="183">
        <v>25646507</v>
      </c>
      <c r="F14" s="184">
        <f t="shared" si="0"/>
        <v>0.14329055890535114</v>
      </c>
      <c r="G14"/>
    </row>
    <row r="15" spans="1:7" x14ac:dyDescent="0.2">
      <c r="A15" s="182">
        <v>2013</v>
      </c>
      <c r="B15" s="183">
        <v>3574246.8709999998</v>
      </c>
      <c r="C15" s="183">
        <f t="shared" si="1"/>
        <v>-100655.45100000035</v>
      </c>
      <c r="D15" s="185">
        <f t="shared" si="2"/>
        <v>-2.738996636656732</v>
      </c>
      <c r="E15" s="183">
        <v>25507987</v>
      </c>
      <c r="F15" s="184">
        <f t="shared" si="0"/>
        <v>0.14012265534712715</v>
      </c>
      <c r="G15"/>
    </row>
    <row r="16" spans="1:7" x14ac:dyDescent="0.2">
      <c r="A16" s="182">
        <v>2014</v>
      </c>
      <c r="B16" s="183">
        <v>3850933.5180000002</v>
      </c>
      <c r="C16" s="183">
        <f t="shared" si="1"/>
        <v>276686.64700000035</v>
      </c>
      <c r="D16" s="185">
        <f t="shared" si="2"/>
        <v>7.7411174153896534</v>
      </c>
      <c r="E16" s="183">
        <v>26300686</v>
      </c>
      <c r="F16" s="184">
        <f t="shared" si="0"/>
        <v>0.14641950852536698</v>
      </c>
      <c r="G16"/>
    </row>
    <row r="17" spans="1:1025" x14ac:dyDescent="0.2">
      <c r="A17" s="182">
        <v>2015</v>
      </c>
      <c r="B17" s="183">
        <v>4035591.952</v>
      </c>
      <c r="C17" s="183">
        <f t="shared" si="1"/>
        <v>184658.43399999989</v>
      </c>
      <c r="D17" s="185">
        <f t="shared" si="2"/>
        <v>4.7951602679420668</v>
      </c>
      <c r="E17" s="183">
        <v>27617743</v>
      </c>
      <c r="F17" s="184">
        <f t="shared" si="0"/>
        <v>0.1461231626349771</v>
      </c>
      <c r="G17"/>
      <c r="H17" s="27" t="s">
        <v>232</v>
      </c>
    </row>
    <row r="18" spans="1:1025" x14ac:dyDescent="0.2">
      <c r="A18" s="182">
        <v>2016</v>
      </c>
      <c r="B18" s="183">
        <v>4240896.6979999999</v>
      </c>
      <c r="C18" s="183">
        <f t="shared" si="1"/>
        <v>205304.74599999981</v>
      </c>
      <c r="D18" s="185">
        <f t="shared" si="2"/>
        <v>5.087351457776923</v>
      </c>
      <c r="E18" s="183">
        <v>29134126</v>
      </c>
      <c r="F18" s="184">
        <f t="shared" si="0"/>
        <v>0.14556457598899655</v>
      </c>
      <c r="G18"/>
    </row>
    <row r="19" spans="1:1025" x14ac:dyDescent="0.2">
      <c r="A19" s="182">
        <v>2017</v>
      </c>
      <c r="B19" s="183">
        <v>4668235.8940000003</v>
      </c>
      <c r="C19" s="183">
        <f t="shared" si="1"/>
        <v>427339.19600000046</v>
      </c>
      <c r="D19" s="185">
        <f t="shared" si="2"/>
        <v>10.076623564104569</v>
      </c>
      <c r="E19" s="183">
        <v>30435900</v>
      </c>
      <c r="F19" s="184">
        <f t="shared" si="0"/>
        <v>0.15337926244993577</v>
      </c>
      <c r="G19"/>
    </row>
    <row r="20" spans="1:1025" x14ac:dyDescent="0.2">
      <c r="A20" s="182">
        <v>2018</v>
      </c>
      <c r="B20" s="183">
        <v>5008809.0999999996</v>
      </c>
      <c r="C20" s="183">
        <f t="shared" si="1"/>
        <v>340573.20599999931</v>
      </c>
      <c r="D20" s="185">
        <f t="shared" si="2"/>
        <v>7.2955440498996937</v>
      </c>
      <c r="E20" s="183">
        <v>31490768</v>
      </c>
      <c r="F20" s="184">
        <f t="shared" si="0"/>
        <v>0.15905642885559348</v>
      </c>
      <c r="G20"/>
    </row>
    <row r="21" spans="1:1025" x14ac:dyDescent="0.2">
      <c r="A21" s="42">
        <v>2019</v>
      </c>
      <c r="B21" s="43">
        <v>5457748.6399999997</v>
      </c>
      <c r="C21" s="43">
        <f t="shared" si="1"/>
        <v>448939.54000000004</v>
      </c>
      <c r="D21" s="74">
        <f t="shared" si="2"/>
        <v>8.9629996080305752</v>
      </c>
      <c r="E21" s="43">
        <v>32349252.780000001</v>
      </c>
      <c r="F21" s="76">
        <f t="shared" si="0"/>
        <v>0.16871328302749128</v>
      </c>
      <c r="G21" s="31"/>
    </row>
    <row r="22" spans="1:1025" x14ac:dyDescent="0.2">
      <c r="A22" s="44">
        <v>2020</v>
      </c>
      <c r="B22" s="43">
        <v>5893123.6919999998</v>
      </c>
      <c r="C22" s="43">
        <f t="shared" si="1"/>
        <v>435375.05200000014</v>
      </c>
      <c r="D22" s="74">
        <f t="shared" si="2"/>
        <v>7.9771913423993812</v>
      </c>
      <c r="E22" s="43">
        <v>26789155</v>
      </c>
      <c r="F22" s="76">
        <f t="shared" si="0"/>
        <v>0.21998169378616084</v>
      </c>
      <c r="G22"/>
    </row>
    <row r="23" spans="1:1025" x14ac:dyDescent="0.2">
      <c r="A23" s="45">
        <v>2021</v>
      </c>
      <c r="B23" s="46">
        <v>5881521.7149999999</v>
      </c>
      <c r="C23" s="46">
        <f t="shared" si="1"/>
        <v>-11601.976999999955</v>
      </c>
      <c r="D23" s="75">
        <f t="shared" si="2"/>
        <v>-0.19687312885948716</v>
      </c>
      <c r="E23" s="46">
        <v>29735962.050000001</v>
      </c>
      <c r="F23" s="77">
        <f t="shared" si="0"/>
        <v>0.19779153958800536</v>
      </c>
      <c r="G23"/>
    </row>
    <row r="24" spans="1:1025" x14ac:dyDescent="0.2">
      <c r="A24" s="282" t="s">
        <v>378</v>
      </c>
      <c r="B24" s="282"/>
      <c r="C24" s="282"/>
      <c r="D24" s="282"/>
      <c r="E24" s="282"/>
      <c r="F24" s="282"/>
      <c r="G24" s="80"/>
    </row>
    <row r="25" spans="1:1025" x14ac:dyDescent="0.2">
      <c r="A25" s="283"/>
      <c r="B25" s="283"/>
      <c r="C25" s="283"/>
      <c r="D25" s="283"/>
      <c r="E25" s="283"/>
      <c r="F25" s="283"/>
    </row>
    <row r="26" spans="1:1025" x14ac:dyDescent="0.2">
      <c r="B26" s="27" t="s">
        <v>232</v>
      </c>
      <c r="C26"/>
    </row>
    <row r="27" spans="1:1025" x14ac:dyDescent="0.2">
      <c r="AMJ27"/>
      <c r="AMK27"/>
    </row>
  </sheetData>
  <mergeCells count="2">
    <mergeCell ref="A1:F1"/>
    <mergeCell ref="A24:F2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M28"/>
  <sheetViews>
    <sheetView zoomScaleNormal="100" workbookViewId="0"/>
  </sheetViews>
  <sheetFormatPr baseColWidth="10" defaultColWidth="9.140625" defaultRowHeight="12.75" x14ac:dyDescent="0.2"/>
  <cols>
    <col min="1" max="3" width="11" style="1"/>
    <col min="4" max="5" width="9.140625" style="1"/>
    <col min="6" max="1027" width="11" style="1"/>
  </cols>
  <sheetData>
    <row r="1" spans="1:14" x14ac:dyDescent="0.2">
      <c r="A1" s="1" t="s">
        <v>237</v>
      </c>
      <c r="B1"/>
      <c r="C1"/>
      <c r="D1"/>
      <c r="E1"/>
      <c r="F1"/>
      <c r="H1"/>
      <c r="I1"/>
      <c r="J1"/>
      <c r="K1"/>
      <c r="L1"/>
      <c r="M1"/>
      <c r="N1"/>
    </row>
    <row r="2" spans="1:14" ht="33.75" x14ac:dyDescent="0.2">
      <c r="A2"/>
      <c r="B2" s="6" t="s">
        <v>8</v>
      </c>
      <c r="C2" s="6" t="s">
        <v>9</v>
      </c>
      <c r="D2" s="6" t="s">
        <v>243</v>
      </c>
      <c r="E2" s="6" t="s">
        <v>330</v>
      </c>
      <c r="F2" s="6" t="s">
        <v>10</v>
      </c>
      <c r="H2"/>
      <c r="I2"/>
      <c r="J2"/>
      <c r="K2"/>
      <c r="L2"/>
      <c r="M2"/>
      <c r="N2"/>
    </row>
    <row r="3" spans="1:14" x14ac:dyDescent="0.2">
      <c r="A3" s="40">
        <v>2001</v>
      </c>
      <c r="B3" s="7">
        <v>950.49198000000001</v>
      </c>
      <c r="C3" s="8">
        <v>7.08461330850918E-2</v>
      </c>
      <c r="D3" s="8">
        <v>2.7E-2</v>
      </c>
      <c r="E3" s="8">
        <f>C3-D3</f>
        <v>4.3846133085091804E-2</v>
      </c>
      <c r="F3" s="8">
        <v>5.3429321798273602E-2</v>
      </c>
      <c r="H3"/>
      <c r="I3"/>
      <c r="J3"/>
      <c r="K3"/>
      <c r="L3"/>
      <c r="M3"/>
      <c r="N3"/>
    </row>
    <row r="4" spans="1:14" x14ac:dyDescent="0.2">
      <c r="A4" s="40">
        <v>2002</v>
      </c>
      <c r="B4" s="7">
        <v>1069.8025399999999</v>
      </c>
      <c r="C4" s="8">
        <v>0.12552505703414801</v>
      </c>
      <c r="D4" s="8">
        <v>0.04</v>
      </c>
      <c r="E4" s="8">
        <f t="shared" ref="E4:E23" si="0">C4-D4</f>
        <v>8.5525057034148005E-2</v>
      </c>
      <c r="F4" s="8">
        <v>5.6964663887981902E-2</v>
      </c>
      <c r="H4"/>
      <c r="I4"/>
      <c r="J4"/>
      <c r="K4"/>
      <c r="L4"/>
      <c r="M4"/>
      <c r="N4"/>
    </row>
    <row r="5" spans="1:14" x14ac:dyDescent="0.2">
      <c r="A5" s="40">
        <v>2003</v>
      </c>
      <c r="B5" s="7">
        <v>1796.61</v>
      </c>
      <c r="C5" s="8">
        <v>0.67938468345756597</v>
      </c>
      <c r="D5" s="8">
        <v>2.5999999999999999E-2</v>
      </c>
      <c r="E5" s="8">
        <f t="shared" si="0"/>
        <v>0.65338468345756595</v>
      </c>
      <c r="F5" s="8">
        <v>9.1231135125121904E-2</v>
      </c>
      <c r="H5"/>
      <c r="I5"/>
      <c r="J5"/>
      <c r="K5"/>
      <c r="L5"/>
      <c r="M5"/>
      <c r="N5"/>
    </row>
    <row r="6" spans="1:14" x14ac:dyDescent="0.2">
      <c r="A6" s="39">
        <v>2004</v>
      </c>
      <c r="B6" s="7">
        <v>1859.18568</v>
      </c>
      <c r="C6" s="8">
        <v>3.4829862908477602E-2</v>
      </c>
      <c r="D6" s="8">
        <v>3.2000000000000001E-2</v>
      </c>
      <c r="E6" s="8">
        <f t="shared" si="0"/>
        <v>2.8298629084776011E-3</v>
      </c>
      <c r="F6" s="8">
        <v>8.8600785432569107E-2</v>
      </c>
      <c r="H6"/>
      <c r="I6"/>
      <c r="J6"/>
      <c r="K6"/>
      <c r="L6"/>
      <c r="M6"/>
      <c r="N6"/>
    </row>
    <row r="7" spans="1:14" x14ac:dyDescent="0.2">
      <c r="A7" s="39">
        <v>2005</v>
      </c>
      <c r="B7" s="7">
        <v>2587.788967</v>
      </c>
      <c r="C7" s="8">
        <v>0.39189377093308903</v>
      </c>
      <c r="D7" s="8">
        <v>3.6999999999999998E-2</v>
      </c>
      <c r="E7" s="8">
        <f t="shared" si="0"/>
        <v>0.35489377093308905</v>
      </c>
      <c r="F7" s="8">
        <v>0.114490369990671</v>
      </c>
      <c r="H7"/>
      <c r="I7"/>
      <c r="J7"/>
      <c r="K7"/>
      <c r="L7"/>
      <c r="M7"/>
      <c r="N7"/>
    </row>
    <row r="8" spans="1:14" x14ac:dyDescent="0.2">
      <c r="A8" s="39">
        <v>2006</v>
      </c>
      <c r="B8" s="7">
        <v>2713.9744599999999</v>
      </c>
      <c r="C8" s="8">
        <v>4.8761894655685797E-2</v>
      </c>
      <c r="D8" s="8">
        <v>2.7E-2</v>
      </c>
      <c r="E8" s="8">
        <f t="shared" si="0"/>
        <v>2.1761894655685798E-2</v>
      </c>
      <c r="F8" s="8">
        <v>0.111094014952151</v>
      </c>
      <c r="H8"/>
      <c r="I8"/>
      <c r="J8"/>
      <c r="K8"/>
      <c r="L8"/>
      <c r="M8"/>
      <c r="N8"/>
    </row>
    <row r="9" spans="1:14" x14ac:dyDescent="0.2">
      <c r="A9" s="39">
        <v>2007</v>
      </c>
      <c r="B9" s="7">
        <v>2894.3845900000001</v>
      </c>
      <c r="C9" s="8">
        <v>6.6474512807316505E-2</v>
      </c>
      <c r="D9" s="8">
        <v>4.2000000000000003E-2</v>
      </c>
      <c r="E9" s="8">
        <f t="shared" si="0"/>
        <v>2.4474512807316502E-2</v>
      </c>
      <c r="F9" s="8">
        <v>0.110705674789945</v>
      </c>
      <c r="H9"/>
      <c r="I9"/>
      <c r="J9"/>
      <c r="K9"/>
      <c r="L9"/>
      <c r="M9"/>
      <c r="N9"/>
    </row>
    <row r="10" spans="1:14" x14ac:dyDescent="0.2">
      <c r="A10" s="40">
        <v>2008</v>
      </c>
      <c r="B10" s="7">
        <v>3787.2672600000001</v>
      </c>
      <c r="C10" s="8">
        <v>0.30848791590615798</v>
      </c>
      <c r="D10" s="8">
        <v>1.4E-2</v>
      </c>
      <c r="E10" s="8">
        <f t="shared" si="0"/>
        <v>0.29448791590615797</v>
      </c>
      <c r="F10" s="8">
        <v>0.13926918952265099</v>
      </c>
      <c r="H10"/>
      <c r="I10"/>
      <c r="J10"/>
      <c r="K10"/>
      <c r="L10"/>
      <c r="M10"/>
      <c r="N10"/>
    </row>
    <row r="11" spans="1:14" x14ac:dyDescent="0.2">
      <c r="A11" s="40">
        <v>2009</v>
      </c>
      <c r="B11" s="7">
        <v>4037.4755500000001</v>
      </c>
      <c r="C11" s="8">
        <v>6.6065654421230399E-2</v>
      </c>
      <c r="D11" s="8">
        <v>8.0000000000000002E-3</v>
      </c>
      <c r="E11" s="8">
        <f t="shared" si="0"/>
        <v>5.8065654421230399E-2</v>
      </c>
      <c r="F11" s="8">
        <v>0.15437822745650301</v>
      </c>
      <c r="H11"/>
      <c r="I11"/>
      <c r="J11"/>
      <c r="K11"/>
      <c r="L11"/>
      <c r="M11"/>
      <c r="N11"/>
    </row>
    <row r="12" spans="1:14" x14ac:dyDescent="0.2">
      <c r="A12" s="40">
        <v>2010</v>
      </c>
      <c r="B12" s="7">
        <v>3844.7977639999999</v>
      </c>
      <c r="C12" s="8">
        <v>-4.77223412535588E-2</v>
      </c>
      <c r="D12" s="8">
        <v>0.03</v>
      </c>
      <c r="E12" s="8">
        <f t="shared" si="0"/>
        <v>-7.7722341253558799E-2</v>
      </c>
      <c r="F12" s="8">
        <v>0.146778493609245</v>
      </c>
      <c r="H12"/>
      <c r="I12"/>
      <c r="J12"/>
      <c r="K12"/>
      <c r="L12"/>
      <c r="M12"/>
      <c r="N12"/>
    </row>
    <row r="13" spans="1:14" x14ac:dyDescent="0.2">
      <c r="A13" s="40">
        <v>2011</v>
      </c>
      <c r="B13" s="7">
        <v>3384.4302750000002</v>
      </c>
      <c r="C13" s="8">
        <v>-0.119737764443831</v>
      </c>
      <c r="D13" s="8">
        <v>2.4E-2</v>
      </c>
      <c r="E13" s="8">
        <f t="shared" si="0"/>
        <v>-0.14373776444383099</v>
      </c>
      <c r="F13" s="8">
        <v>0.13001988217639401</v>
      </c>
      <c r="H13"/>
      <c r="I13"/>
      <c r="J13"/>
      <c r="K13"/>
      <c r="L13"/>
      <c r="M13"/>
      <c r="N13"/>
    </row>
    <row r="14" spans="1:14" x14ac:dyDescent="0.2">
      <c r="A14" s="38">
        <v>2012</v>
      </c>
      <c r="B14" s="7">
        <v>3674.9023219999999</v>
      </c>
      <c r="C14" s="8">
        <v>8.5825980563301901E-2</v>
      </c>
      <c r="D14" s="8">
        <v>2.9000000000000001E-2</v>
      </c>
      <c r="E14" s="8">
        <f t="shared" si="0"/>
        <v>5.6825980563301903E-2</v>
      </c>
      <c r="F14" s="8">
        <v>0.143290558905351</v>
      </c>
      <c r="H14"/>
      <c r="I14"/>
      <c r="J14"/>
      <c r="K14"/>
      <c r="L14"/>
      <c r="M14"/>
      <c r="N14"/>
    </row>
    <row r="15" spans="1:14" x14ac:dyDescent="0.2">
      <c r="A15" s="38">
        <v>2013</v>
      </c>
      <c r="B15" s="7">
        <v>3574.2468709999998</v>
      </c>
      <c r="C15" s="8">
        <v>-2.7389966366567299E-2</v>
      </c>
      <c r="D15" s="8">
        <v>3.0000000000000001E-3</v>
      </c>
      <c r="E15" s="8">
        <f t="shared" si="0"/>
        <v>-3.0389966366567298E-2</v>
      </c>
      <c r="F15" s="8">
        <v>0.14012265534712701</v>
      </c>
      <c r="H15"/>
      <c r="I15"/>
      <c r="J15"/>
      <c r="K15"/>
      <c r="L15"/>
      <c r="M15"/>
      <c r="N15"/>
    </row>
    <row r="16" spans="1:14" x14ac:dyDescent="0.2">
      <c r="A16" s="38">
        <v>2014</v>
      </c>
      <c r="B16" s="7">
        <v>3850.9335179999998</v>
      </c>
      <c r="C16" s="8">
        <v>7.7411174153896298E-2</v>
      </c>
      <c r="D16" s="8">
        <v>-1E-3</v>
      </c>
      <c r="E16" s="8">
        <f t="shared" si="0"/>
        <v>7.8411174153896299E-2</v>
      </c>
      <c r="F16" s="8">
        <v>0.146419508525367</v>
      </c>
      <c r="H16"/>
      <c r="I16"/>
      <c r="J16"/>
      <c r="K16"/>
      <c r="L16"/>
      <c r="M16"/>
      <c r="N16"/>
    </row>
    <row r="17" spans="1:16" x14ac:dyDescent="0.2">
      <c r="A17" s="38">
        <v>2015</v>
      </c>
      <c r="B17" s="7">
        <v>4035.5919520000002</v>
      </c>
      <c r="C17" s="8">
        <v>4.7951602679420703E-2</v>
      </c>
      <c r="D17" s="8">
        <v>0</v>
      </c>
      <c r="E17" s="8">
        <f t="shared" si="0"/>
        <v>4.7951602679420703E-2</v>
      </c>
      <c r="F17" s="8">
        <v>0.14612316263497699</v>
      </c>
      <c r="H17"/>
      <c r="I17"/>
      <c r="J17"/>
      <c r="K17"/>
      <c r="L17"/>
      <c r="M17"/>
      <c r="N17"/>
    </row>
    <row r="18" spans="1:16" x14ac:dyDescent="0.2">
      <c r="A18" s="41">
        <v>2016</v>
      </c>
      <c r="B18" s="7">
        <v>4240.8966979999996</v>
      </c>
      <c r="C18" s="8">
        <v>5.0873514577769202E-2</v>
      </c>
      <c r="D18" s="8">
        <v>1.6E-2</v>
      </c>
      <c r="E18" s="8">
        <f t="shared" si="0"/>
        <v>3.4873514577769202E-2</v>
      </c>
      <c r="F18" s="8">
        <v>0.145564575988997</v>
      </c>
      <c r="H18"/>
      <c r="I18"/>
      <c r="J18"/>
      <c r="K18"/>
      <c r="L18"/>
      <c r="M18"/>
      <c r="N18"/>
    </row>
    <row r="19" spans="1:16" x14ac:dyDescent="0.2">
      <c r="A19" s="41">
        <v>2017</v>
      </c>
      <c r="B19" s="7">
        <v>4668.2358940000004</v>
      </c>
      <c r="C19" s="8">
        <v>0.100766235641046</v>
      </c>
      <c r="D19" s="8">
        <v>1.0999999999999999E-2</v>
      </c>
      <c r="E19" s="8">
        <f t="shared" si="0"/>
        <v>8.9766235641046008E-2</v>
      </c>
      <c r="F19" s="8">
        <v>0.15337926244993599</v>
      </c>
      <c r="H19"/>
      <c r="I19"/>
      <c r="J19"/>
      <c r="K19"/>
      <c r="L19"/>
      <c r="M19"/>
      <c r="N19"/>
    </row>
    <row r="20" spans="1:16" x14ac:dyDescent="0.2">
      <c r="A20" s="41">
        <v>2018</v>
      </c>
      <c r="B20" s="7">
        <v>5008.8091000000004</v>
      </c>
      <c r="C20" s="8">
        <v>7.2955440498996896E-2</v>
      </c>
      <c r="D20" s="8">
        <v>1.2E-2</v>
      </c>
      <c r="E20" s="8">
        <f t="shared" si="0"/>
        <v>6.0955440498996899E-2</v>
      </c>
      <c r="F20" s="8">
        <v>0.15905642885559301</v>
      </c>
      <c r="H20"/>
      <c r="I20"/>
      <c r="J20"/>
      <c r="K20"/>
      <c r="L20"/>
      <c r="M20"/>
      <c r="N20"/>
    </row>
    <row r="21" spans="1:16" x14ac:dyDescent="0.2">
      <c r="A21" s="41">
        <v>2019</v>
      </c>
      <c r="B21" s="7">
        <v>5457.7486399999998</v>
      </c>
      <c r="C21" s="8">
        <v>8.9629996080305793E-2</v>
      </c>
      <c r="D21" s="8">
        <v>8.0000000000000002E-3</v>
      </c>
      <c r="E21" s="8">
        <f t="shared" si="0"/>
        <v>8.16299960803058E-2</v>
      </c>
      <c r="F21" s="9">
        <v>0.168713283027491</v>
      </c>
      <c r="H21"/>
      <c r="I21"/>
      <c r="J21"/>
      <c r="K21"/>
      <c r="L21"/>
      <c r="M21"/>
      <c r="N21"/>
    </row>
    <row r="22" spans="1:16" x14ac:dyDescent="0.2">
      <c r="A22" s="41">
        <v>2020</v>
      </c>
      <c r="B22" s="37">
        <v>5893.1236920000001</v>
      </c>
      <c r="C22" s="8">
        <f>(B22-B21)/B21</f>
        <v>7.9771913423993882E-2</v>
      </c>
      <c r="D22" s="8">
        <v>-5.0000000000000001E-3</v>
      </c>
      <c r="E22" s="8">
        <f t="shared" si="0"/>
        <v>8.4771913423993886E-2</v>
      </c>
      <c r="F22" s="58">
        <v>0.21959999999999999</v>
      </c>
      <c r="G22" s="1" t="s">
        <v>232</v>
      </c>
      <c r="H22" s="234" t="s">
        <v>156</v>
      </c>
      <c r="I22" s="234"/>
      <c r="J22" s="234"/>
      <c r="K22" s="234"/>
      <c r="L22" s="234"/>
      <c r="M22" s="234"/>
      <c r="N22" s="234"/>
      <c r="O22" s="234"/>
      <c r="P22" s="234"/>
    </row>
    <row r="23" spans="1:16" x14ac:dyDescent="0.2">
      <c r="A23" s="41">
        <v>2021</v>
      </c>
      <c r="B23" s="7">
        <v>5881.5217199999997</v>
      </c>
      <c r="C23" s="8">
        <f>(B23-B22)/B22</f>
        <v>-1.9687304401484447E-3</v>
      </c>
      <c r="D23" s="8">
        <v>6.5000000000000002E-2</v>
      </c>
      <c r="E23" s="8">
        <f t="shared" si="0"/>
        <v>-6.696873044014845E-2</v>
      </c>
      <c r="F23" s="58">
        <v>0.19800000000000001</v>
      </c>
      <c r="G23" s="1" t="s">
        <v>331</v>
      </c>
      <c r="K23"/>
      <c r="L23"/>
      <c r="M23"/>
      <c r="N23"/>
    </row>
    <row r="24" spans="1:16" x14ac:dyDescent="0.2">
      <c r="K24"/>
      <c r="L24"/>
      <c r="M24"/>
      <c r="N24"/>
    </row>
    <row r="25" spans="1:16" x14ac:dyDescent="0.2">
      <c r="K25"/>
      <c r="L25"/>
      <c r="M25"/>
      <c r="N25"/>
    </row>
    <row r="26" spans="1:16" x14ac:dyDescent="0.2">
      <c r="A26" s="36"/>
      <c r="L26"/>
      <c r="M26"/>
    </row>
    <row r="27" spans="1:16" x14ac:dyDescent="0.2">
      <c r="A27" s="36"/>
      <c r="L27" s="10"/>
      <c r="M27" s="10"/>
    </row>
    <row r="28" spans="1:16" x14ac:dyDescent="0.2">
      <c r="A28" s="36"/>
    </row>
  </sheetData>
  <mergeCells count="1">
    <mergeCell ref="H22:P22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MK20"/>
  <sheetViews>
    <sheetView zoomScaleNormal="100" workbookViewId="0">
      <selection activeCell="B2" sqref="B2:G3"/>
    </sheetView>
  </sheetViews>
  <sheetFormatPr baseColWidth="10" defaultColWidth="9.140625" defaultRowHeight="12.75" x14ac:dyDescent="0.2"/>
  <cols>
    <col min="1" max="1" width="27.85546875" style="1"/>
    <col min="2" max="2" width="11" style="1"/>
    <col min="3" max="3" width="13" style="1" bestFit="1" customWidth="1"/>
    <col min="4" max="4" width="11" style="1"/>
    <col min="5" max="7" width="9.28515625" style="1"/>
    <col min="8" max="1025" width="11" style="1"/>
  </cols>
  <sheetData>
    <row r="1" spans="1:9" ht="13.5" customHeight="1" x14ac:dyDescent="0.2">
      <c r="A1" s="229" t="s">
        <v>332</v>
      </c>
      <c r="B1" s="229"/>
      <c r="C1" s="229"/>
      <c r="D1" s="229"/>
      <c r="E1" s="229"/>
      <c r="F1" s="229"/>
      <c r="G1" s="229"/>
      <c r="H1"/>
    </row>
    <row r="2" spans="1:9" x14ac:dyDescent="0.2">
      <c r="A2" s="230"/>
      <c r="B2" s="231" t="s">
        <v>0</v>
      </c>
      <c r="C2" s="231"/>
      <c r="D2" s="232" t="s">
        <v>1</v>
      </c>
      <c r="E2" s="232"/>
      <c r="F2" s="233" t="s">
        <v>2</v>
      </c>
      <c r="G2" s="233"/>
      <c r="H2"/>
    </row>
    <row r="3" spans="1:9" x14ac:dyDescent="0.2">
      <c r="A3" s="230"/>
      <c r="B3" s="186">
        <v>2020</v>
      </c>
      <c r="C3" s="186">
        <v>2021</v>
      </c>
      <c r="D3" s="187" t="s">
        <v>238</v>
      </c>
      <c r="E3" s="186" t="s">
        <v>239</v>
      </c>
      <c r="F3" s="186">
        <v>2020</v>
      </c>
      <c r="G3" s="186">
        <v>2021</v>
      </c>
      <c r="H3"/>
    </row>
    <row r="4" spans="1:9" x14ac:dyDescent="0.2">
      <c r="A4" s="87" t="s">
        <v>4</v>
      </c>
      <c r="B4" s="88">
        <v>3819802.6410000003</v>
      </c>
      <c r="C4" s="88">
        <f>SUM(C5:C9)</f>
        <v>4155507.3059999999</v>
      </c>
      <c r="D4" s="88">
        <f t="shared" ref="D4:D17" si="0">C4-B4</f>
        <v>335704.66499999957</v>
      </c>
      <c r="E4" s="94">
        <f t="shared" ref="E4:E17" si="1">((C4/B4)-1)*100</f>
        <v>8.788534292235429</v>
      </c>
      <c r="F4" s="94">
        <f t="shared" ref="F4:G16" si="2">B4*100/$C$17</f>
        <v>64.945491021666555</v>
      </c>
      <c r="G4" s="94">
        <f t="shared" si="2"/>
        <v>70.653247771366395</v>
      </c>
      <c r="H4"/>
      <c r="I4" s="1" t="s">
        <v>232</v>
      </c>
    </row>
    <row r="5" spans="1:9" x14ac:dyDescent="0.2">
      <c r="A5" s="93" t="s">
        <v>333</v>
      </c>
      <c r="B5" s="88">
        <v>1673337.67</v>
      </c>
      <c r="C5" s="88">
        <v>1772542.906</v>
      </c>
      <c r="D5" s="88">
        <f t="shared" si="0"/>
        <v>99205.236000000034</v>
      </c>
      <c r="E5" s="94">
        <f t="shared" si="1"/>
        <v>5.9285843962384455</v>
      </c>
      <c r="F5" s="94">
        <f t="shared" si="2"/>
        <v>28.450615604253002</v>
      </c>
      <c r="G5" s="94">
        <f t="shared" si="2"/>
        <v>30.137334361600526</v>
      </c>
    </row>
    <row r="6" spans="1:9" x14ac:dyDescent="0.2">
      <c r="A6" s="93" t="s">
        <v>334</v>
      </c>
      <c r="B6" s="88">
        <v>691581.37600000005</v>
      </c>
      <c r="C6" s="88">
        <v>829984.88600000006</v>
      </c>
      <c r="D6" s="88">
        <f t="shared" si="0"/>
        <v>138403.51</v>
      </c>
      <c r="E6" s="94">
        <f t="shared" si="1"/>
        <v>20.012613815673362</v>
      </c>
      <c r="F6" s="94">
        <f t="shared" si="2"/>
        <v>11.758484997015794</v>
      </c>
      <c r="G6" s="94">
        <f t="shared" si="2"/>
        <v>14.111665190042457</v>
      </c>
    </row>
    <row r="7" spans="1:9" x14ac:dyDescent="0.2">
      <c r="A7" s="93" t="s">
        <v>335</v>
      </c>
      <c r="B7" s="88">
        <v>119622.524</v>
      </c>
      <c r="C7" s="88">
        <v>99618.377999999997</v>
      </c>
      <c r="D7" s="88">
        <f t="shared" si="0"/>
        <v>-20004.146000000008</v>
      </c>
      <c r="E7" s="94">
        <f t="shared" si="1"/>
        <v>-16.722725228569836</v>
      </c>
      <c r="F7" s="94">
        <f t="shared" si="2"/>
        <v>2.0338599369095238</v>
      </c>
      <c r="G7" s="94">
        <f t="shared" si="2"/>
        <v>1.6937431281261801</v>
      </c>
    </row>
    <row r="8" spans="1:9" x14ac:dyDescent="0.2">
      <c r="A8" s="93" t="s">
        <v>324</v>
      </c>
      <c r="B8" s="88">
        <v>1313341.9010000001</v>
      </c>
      <c r="C8" s="88">
        <v>1379152.385</v>
      </c>
      <c r="D8" s="88">
        <f t="shared" si="0"/>
        <v>65810.483999999939</v>
      </c>
      <c r="E8" s="94">
        <f t="shared" si="1"/>
        <v>5.0109178691314593</v>
      </c>
      <c r="F8" s="94">
        <f t="shared" si="2"/>
        <v>22.329853831779154</v>
      </c>
      <c r="G8" s="94">
        <f t="shared" si="2"/>
        <v>23.448784467586716</v>
      </c>
    </row>
    <row r="9" spans="1:9" x14ac:dyDescent="0.2">
      <c r="A9" s="93" t="s">
        <v>336</v>
      </c>
      <c r="B9" s="88">
        <v>21919.17</v>
      </c>
      <c r="C9" s="88">
        <v>74208.751000000004</v>
      </c>
      <c r="D9" s="88">
        <f t="shared" si="0"/>
        <v>52289.581000000006</v>
      </c>
      <c r="E9" s="94">
        <f t="shared" si="1"/>
        <v>238.5563915057003</v>
      </c>
      <c r="F9" s="94">
        <f t="shared" si="2"/>
        <v>0.37267665170908049</v>
      </c>
      <c r="G9" s="94">
        <f t="shared" si="2"/>
        <v>1.2617206240105296</v>
      </c>
    </row>
    <row r="10" spans="1:9" x14ac:dyDescent="0.2">
      <c r="A10" s="87" t="s">
        <v>5</v>
      </c>
      <c r="B10" s="88">
        <v>564031.353</v>
      </c>
      <c r="C10" s="88">
        <f>SUM(C11:C12)</f>
        <v>571054.40899999999</v>
      </c>
      <c r="D10" s="88">
        <f t="shared" si="0"/>
        <v>7023.0559999999823</v>
      </c>
      <c r="E10" s="94">
        <f t="shared" si="1"/>
        <v>1.2451534764238437</v>
      </c>
      <c r="F10" s="94">
        <f t="shared" si="2"/>
        <v>9.5898392181356513</v>
      </c>
      <c r="G10" s="94">
        <f t="shared" si="2"/>
        <v>9.709247434543725</v>
      </c>
      <c r="H10"/>
    </row>
    <row r="11" spans="1:9" x14ac:dyDescent="0.2">
      <c r="A11" s="93" t="s">
        <v>337</v>
      </c>
      <c r="B11" s="88">
        <v>184287.872</v>
      </c>
      <c r="C11" s="88">
        <v>222161.87599999999</v>
      </c>
      <c r="D11" s="88">
        <f t="shared" si="0"/>
        <v>37874.003999999986</v>
      </c>
      <c r="E11" s="94">
        <f t="shared" si="1"/>
        <v>20.551544487962815</v>
      </c>
      <c r="F11" s="94">
        <f t="shared" si="2"/>
        <v>3.1333206087434697</v>
      </c>
      <c r="G11" s="94">
        <f t="shared" si="2"/>
        <v>3.7772663875998918</v>
      </c>
    </row>
    <row r="12" spans="1:9" x14ac:dyDescent="0.2">
      <c r="A12" s="93" t="s">
        <v>327</v>
      </c>
      <c r="B12" s="88">
        <v>379743.48100000003</v>
      </c>
      <c r="C12" s="88">
        <v>348892.533</v>
      </c>
      <c r="D12" s="88">
        <f t="shared" si="0"/>
        <v>-30850.948000000033</v>
      </c>
      <c r="E12" s="94">
        <f t="shared" si="1"/>
        <v>-8.1241547369709899</v>
      </c>
      <c r="F12" s="94">
        <f t="shared" si="2"/>
        <v>6.456518609392182</v>
      </c>
      <c r="G12" s="94">
        <f t="shared" si="2"/>
        <v>5.9319810469438332</v>
      </c>
    </row>
    <row r="13" spans="1:9" x14ac:dyDescent="0.2">
      <c r="A13" s="84" t="s">
        <v>11</v>
      </c>
      <c r="B13" s="85">
        <v>4383833.9939999999</v>
      </c>
      <c r="C13" s="85">
        <f>C4+C10</f>
        <v>4726561.7149999999</v>
      </c>
      <c r="D13" s="85">
        <f t="shared" si="0"/>
        <v>342727.7209999999</v>
      </c>
      <c r="E13" s="86">
        <f t="shared" si="1"/>
        <v>7.8179904044970439</v>
      </c>
      <c r="F13" s="86">
        <f t="shared" si="2"/>
        <v>74.535330239802192</v>
      </c>
      <c r="G13" s="86">
        <f t="shared" si="2"/>
        <v>80.362495205910136</v>
      </c>
      <c r="H13"/>
    </row>
    <row r="14" spans="1:9" x14ac:dyDescent="0.2">
      <c r="A14" s="93" t="s">
        <v>328</v>
      </c>
      <c r="B14" s="88">
        <v>31226.358</v>
      </c>
      <c r="C14" s="88">
        <v>29080.43</v>
      </c>
      <c r="D14" s="88">
        <f t="shared" si="0"/>
        <v>-2145.9279999999999</v>
      </c>
      <c r="E14" s="94">
        <f t="shared" si="1"/>
        <v>-6.872168697995451</v>
      </c>
      <c r="F14" s="94">
        <f t="shared" si="2"/>
        <v>0.53092040184500866</v>
      </c>
      <c r="G14" s="94">
        <f t="shared" si="2"/>
        <v>0.49443465617814431</v>
      </c>
    </row>
    <row r="15" spans="1:9" x14ac:dyDescent="0.2">
      <c r="A15" s="93" t="s">
        <v>329</v>
      </c>
      <c r="B15" s="88">
        <v>1478063.34</v>
      </c>
      <c r="C15" s="88">
        <v>1125909.57</v>
      </c>
      <c r="D15" s="88">
        <f t="shared" si="0"/>
        <v>-352153.77</v>
      </c>
      <c r="E15" s="94">
        <f t="shared" si="1"/>
        <v>-23.825350407513657</v>
      </c>
      <c r="F15" s="94">
        <f t="shared" si="2"/>
        <v>25.130499766420911</v>
      </c>
      <c r="G15" s="94">
        <f t="shared" si="2"/>
        <v>19.143070137911728</v>
      </c>
    </row>
    <row r="16" spans="1:9" x14ac:dyDescent="0.2">
      <c r="A16" s="84" t="s">
        <v>6</v>
      </c>
      <c r="B16" s="85">
        <v>1509289.6980000001</v>
      </c>
      <c r="C16" s="85">
        <f>C14+C15</f>
        <v>1154990</v>
      </c>
      <c r="D16" s="85">
        <f t="shared" si="0"/>
        <v>-354299.69800000009</v>
      </c>
      <c r="E16" s="86">
        <f t="shared" si="1"/>
        <v>-23.474598579019791</v>
      </c>
      <c r="F16" s="86">
        <f t="shared" si="2"/>
        <v>25.66142016826592</v>
      </c>
      <c r="G16" s="86">
        <f t="shared" si="2"/>
        <v>19.637504794089871</v>
      </c>
    </row>
    <row r="17" spans="1:7" x14ac:dyDescent="0.2">
      <c r="A17" s="84" t="s">
        <v>12</v>
      </c>
      <c r="B17" s="85">
        <v>5893123.6919999998</v>
      </c>
      <c r="C17" s="85">
        <f>C16+C13</f>
        <v>5881551.7149999999</v>
      </c>
      <c r="D17" s="85">
        <f t="shared" si="0"/>
        <v>-11571.976999999955</v>
      </c>
      <c r="E17" s="86">
        <f t="shared" si="1"/>
        <v>-0.19636406097685022</v>
      </c>
      <c r="F17" s="86">
        <v>100</v>
      </c>
      <c r="G17" s="86">
        <v>100</v>
      </c>
    </row>
    <row r="18" spans="1:7" ht="11.25" customHeight="1" x14ac:dyDescent="0.2">
      <c r="A18" s="228" t="s">
        <v>379</v>
      </c>
      <c r="B18" s="228"/>
      <c r="C18" s="228"/>
      <c r="D18" s="228"/>
      <c r="E18" s="228"/>
      <c r="F18" s="228"/>
      <c r="G18" s="228"/>
    </row>
    <row r="19" spans="1:7" x14ac:dyDescent="0.2">
      <c r="D19"/>
      <c r="E19"/>
    </row>
    <row r="20" spans="1:7" x14ac:dyDescent="0.2">
      <c r="D20"/>
      <c r="E20"/>
    </row>
  </sheetData>
  <mergeCells count="6">
    <mergeCell ref="A18:G18"/>
    <mergeCell ref="A1:G1"/>
    <mergeCell ref="A2:A3"/>
    <mergeCell ref="B2:C2"/>
    <mergeCell ref="D2:E2"/>
    <mergeCell ref="F2:G2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MK22"/>
  <sheetViews>
    <sheetView zoomScaleNormal="100" workbookViewId="0">
      <selection activeCell="B2" sqref="B2:K2"/>
    </sheetView>
  </sheetViews>
  <sheetFormatPr baseColWidth="10" defaultColWidth="9.140625" defaultRowHeight="12.75" x14ac:dyDescent="0.2"/>
  <cols>
    <col min="1" max="1" width="17.28515625" style="1"/>
    <col min="2" max="8" width="8.28515625" style="1"/>
    <col min="9" max="10" width="9.140625" style="1"/>
    <col min="11" max="11" width="8.28515625" style="1"/>
    <col min="12" max="1025" width="11" style="1"/>
  </cols>
  <sheetData>
    <row r="1" spans="1:12 1025:1025" x14ac:dyDescent="0.2">
      <c r="A1" s="235" t="s">
        <v>311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/>
      <c r="AMK1"/>
    </row>
    <row r="2" spans="1:12 1025:1025" x14ac:dyDescent="0.2">
      <c r="A2" s="87"/>
      <c r="B2" s="186">
        <v>2012</v>
      </c>
      <c r="C2" s="186">
        <v>2013</v>
      </c>
      <c r="D2" s="186">
        <v>2014</v>
      </c>
      <c r="E2" s="186">
        <v>2015</v>
      </c>
      <c r="F2" s="186">
        <v>2016</v>
      </c>
      <c r="G2" s="186">
        <v>2017</v>
      </c>
      <c r="H2" s="186">
        <v>2018</v>
      </c>
      <c r="I2" s="186">
        <v>2019</v>
      </c>
      <c r="J2" s="186">
        <v>2020</v>
      </c>
      <c r="K2" s="186">
        <v>2021</v>
      </c>
      <c r="L2"/>
      <c r="AMK2"/>
    </row>
    <row r="3" spans="1:12 1025:1025" x14ac:dyDescent="0.2">
      <c r="A3" s="87" t="s">
        <v>31</v>
      </c>
      <c r="B3" s="95">
        <v>21064</v>
      </c>
      <c r="C3" s="95">
        <v>24441</v>
      </c>
      <c r="D3" s="95">
        <v>29373</v>
      </c>
      <c r="E3" s="95">
        <v>31645</v>
      </c>
      <c r="F3" s="95">
        <v>33325</v>
      </c>
      <c r="G3" s="95">
        <v>34260</v>
      </c>
      <c r="H3" s="95">
        <v>35409</v>
      </c>
      <c r="I3" s="95">
        <v>35430.58</v>
      </c>
      <c r="J3" s="95">
        <v>36096</v>
      </c>
      <c r="K3" s="95">
        <v>37291.300000000003</v>
      </c>
      <c r="L3"/>
      <c r="AMK3"/>
    </row>
    <row r="4" spans="1:12 1025:1025" x14ac:dyDescent="0.2">
      <c r="A4" s="87" t="s">
        <v>32</v>
      </c>
      <c r="B4" s="95">
        <v>4607</v>
      </c>
      <c r="C4" s="95">
        <v>5369</v>
      </c>
      <c r="D4" s="95">
        <v>6010</v>
      </c>
      <c r="E4" s="95">
        <v>6930</v>
      </c>
      <c r="F4" s="95">
        <v>7486</v>
      </c>
      <c r="G4" s="95">
        <v>7959</v>
      </c>
      <c r="H4" s="95">
        <v>8251</v>
      </c>
      <c r="I4" s="95">
        <v>8314.75</v>
      </c>
      <c r="J4" s="95">
        <v>8742</v>
      </c>
      <c r="K4" s="95">
        <v>9060</v>
      </c>
      <c r="L4"/>
      <c r="AMK4"/>
    </row>
    <row r="5" spans="1:12 1025:1025" x14ac:dyDescent="0.2">
      <c r="A5" s="87" t="s">
        <v>33</v>
      </c>
      <c r="B5" s="95">
        <v>2675</v>
      </c>
      <c r="C5" s="87">
        <v>3052</v>
      </c>
      <c r="D5" s="95">
        <v>3479</v>
      </c>
      <c r="E5" s="87">
        <v>3876</v>
      </c>
      <c r="F5" s="95">
        <v>4094</v>
      </c>
      <c r="G5" s="95">
        <v>4244</v>
      </c>
      <c r="H5" s="95">
        <v>4351</v>
      </c>
      <c r="I5" s="95">
        <v>4356.95</v>
      </c>
      <c r="J5" s="95">
        <v>4447</v>
      </c>
      <c r="K5" s="95">
        <v>4368</v>
      </c>
      <c r="L5"/>
      <c r="AMK5"/>
    </row>
    <row r="6" spans="1:12 1025:1025" x14ac:dyDescent="0.2">
      <c r="A6" s="84" t="s">
        <v>34</v>
      </c>
      <c r="B6" s="96">
        <v>6130</v>
      </c>
      <c r="C6" s="96">
        <v>6884</v>
      </c>
      <c r="D6" s="96">
        <v>7798</v>
      </c>
      <c r="E6" s="96">
        <v>8330</v>
      </c>
      <c r="F6" s="96">
        <v>8572</v>
      </c>
      <c r="G6" s="96">
        <v>8802</v>
      </c>
      <c r="H6" s="96">
        <v>8706</v>
      </c>
      <c r="I6" s="96">
        <v>8863.1</v>
      </c>
      <c r="J6" s="96">
        <v>9120</v>
      </c>
      <c r="K6" s="96">
        <v>9005</v>
      </c>
      <c r="L6"/>
      <c r="AMK6"/>
    </row>
    <row r="7" spans="1:12 1025:1025" x14ac:dyDescent="0.2">
      <c r="A7" s="87" t="s">
        <v>35</v>
      </c>
      <c r="B7" s="95">
        <v>4687</v>
      </c>
      <c r="C7" s="95">
        <v>5281</v>
      </c>
      <c r="D7" s="95">
        <v>6034</v>
      </c>
      <c r="E7" s="95">
        <v>6669</v>
      </c>
      <c r="F7" s="95">
        <v>6939</v>
      </c>
      <c r="G7" s="95">
        <v>7044</v>
      </c>
      <c r="H7" s="95">
        <v>6808</v>
      </c>
      <c r="I7" s="95">
        <v>6612.91</v>
      </c>
      <c r="J7" s="95">
        <v>6412</v>
      </c>
      <c r="K7" s="95">
        <v>6434.3</v>
      </c>
      <c r="L7"/>
      <c r="AMK7"/>
    </row>
    <row r="8" spans="1:12 1025:1025" x14ac:dyDescent="0.2">
      <c r="A8" s="87" t="s">
        <v>36</v>
      </c>
      <c r="B8" s="95">
        <v>2032</v>
      </c>
      <c r="C8" s="87">
        <v>2178</v>
      </c>
      <c r="D8" s="95">
        <v>2428</v>
      </c>
      <c r="E8" s="87">
        <v>2677</v>
      </c>
      <c r="F8" s="95">
        <v>2890</v>
      </c>
      <c r="G8" s="95">
        <v>3033</v>
      </c>
      <c r="H8" s="95">
        <v>3171</v>
      </c>
      <c r="I8" s="95">
        <v>3187.76</v>
      </c>
      <c r="J8" s="95">
        <v>3344</v>
      </c>
      <c r="K8" s="95">
        <v>3426</v>
      </c>
      <c r="L8"/>
      <c r="AMK8"/>
    </row>
    <row r="9" spans="1:12 1025:1025" x14ac:dyDescent="0.2">
      <c r="A9" s="87" t="s">
        <v>37</v>
      </c>
      <c r="B9" s="95">
        <v>10190</v>
      </c>
      <c r="C9" s="95">
        <v>11343</v>
      </c>
      <c r="D9" s="95">
        <v>12858</v>
      </c>
      <c r="E9" s="95">
        <v>13426</v>
      </c>
      <c r="F9" s="95">
        <v>14055</v>
      </c>
      <c r="G9" s="95">
        <v>14430</v>
      </c>
      <c r="H9" s="95">
        <v>14714</v>
      </c>
      <c r="I9" s="95">
        <v>14949.25</v>
      </c>
      <c r="J9" s="95">
        <v>15328</v>
      </c>
      <c r="K9" s="95">
        <v>15498</v>
      </c>
      <c r="L9"/>
      <c r="AMK9"/>
    </row>
    <row r="10" spans="1:12 1025:1025" x14ac:dyDescent="0.2">
      <c r="A10" s="87" t="s">
        <v>38</v>
      </c>
      <c r="B10" s="95">
        <v>7933</v>
      </c>
      <c r="C10" s="95">
        <v>8527</v>
      </c>
      <c r="D10" s="95">
        <v>9359</v>
      </c>
      <c r="E10" s="95">
        <v>10557</v>
      </c>
      <c r="F10" s="95">
        <v>11316</v>
      </c>
      <c r="G10" s="95">
        <v>11870</v>
      </c>
      <c r="H10" s="95">
        <v>12360</v>
      </c>
      <c r="I10" s="95">
        <v>12473.02</v>
      </c>
      <c r="J10" s="95">
        <v>12932</v>
      </c>
      <c r="K10" s="95">
        <v>13215</v>
      </c>
      <c r="L10"/>
      <c r="AMK10"/>
    </row>
    <row r="11" spans="1:12 1025:1025" x14ac:dyDescent="0.2">
      <c r="A11" s="87" t="s">
        <v>39</v>
      </c>
      <c r="B11" s="95">
        <v>52355</v>
      </c>
      <c r="C11" s="95">
        <v>58179</v>
      </c>
      <c r="D11" s="95">
        <v>64466</v>
      </c>
      <c r="E11" s="95">
        <v>72675</v>
      </c>
      <c r="F11" s="95">
        <v>75118</v>
      </c>
      <c r="G11" s="97">
        <v>77740</v>
      </c>
      <c r="H11" s="97">
        <v>78732</v>
      </c>
      <c r="I11" s="98">
        <v>79060</v>
      </c>
      <c r="J11" s="98">
        <v>79119</v>
      </c>
      <c r="K11" s="98">
        <v>82369</v>
      </c>
      <c r="L11"/>
      <c r="AMK11"/>
    </row>
    <row r="12" spans="1:12 1025:1025" x14ac:dyDescent="0.2">
      <c r="A12" s="87" t="s">
        <v>40</v>
      </c>
      <c r="B12" s="95">
        <v>2436</v>
      </c>
      <c r="C12" s="87">
        <v>2630</v>
      </c>
      <c r="D12" s="95">
        <v>3092</v>
      </c>
      <c r="E12" s="87">
        <v>3576</v>
      </c>
      <c r="F12" s="95">
        <v>4059</v>
      </c>
      <c r="G12" s="95">
        <v>4401</v>
      </c>
      <c r="H12" s="95">
        <v>4622</v>
      </c>
      <c r="I12" s="95">
        <v>4721.45</v>
      </c>
      <c r="J12" s="95">
        <v>4896</v>
      </c>
      <c r="K12" s="95">
        <v>5046</v>
      </c>
      <c r="AMK12"/>
    </row>
    <row r="13" spans="1:12 1025:1025" x14ac:dyDescent="0.2">
      <c r="A13" s="87" t="s">
        <v>41</v>
      </c>
      <c r="B13" s="95">
        <v>8324</v>
      </c>
      <c r="C13" s="95">
        <v>9212</v>
      </c>
      <c r="D13" s="95">
        <v>9961</v>
      </c>
      <c r="E13" s="95">
        <v>10375</v>
      </c>
      <c r="F13" s="95">
        <v>10854</v>
      </c>
      <c r="G13" s="95">
        <v>11210</v>
      </c>
      <c r="H13" s="95">
        <v>11342</v>
      </c>
      <c r="I13" s="95">
        <v>11314.52</v>
      </c>
      <c r="J13" s="95">
        <v>11538</v>
      </c>
      <c r="K13" s="95">
        <v>11715</v>
      </c>
      <c r="AMK13"/>
    </row>
    <row r="14" spans="1:12 1025:1025" x14ac:dyDescent="0.2">
      <c r="A14" s="87" t="s">
        <v>42</v>
      </c>
      <c r="B14" s="95">
        <v>1045</v>
      </c>
      <c r="C14" s="87">
        <v>1143</v>
      </c>
      <c r="D14" s="95">
        <v>1296</v>
      </c>
      <c r="E14" s="87">
        <v>1436</v>
      </c>
      <c r="F14" s="95">
        <v>1487</v>
      </c>
      <c r="G14" s="95">
        <v>1570</v>
      </c>
      <c r="H14" s="95">
        <v>1591</v>
      </c>
      <c r="I14" s="95">
        <v>1607.57</v>
      </c>
      <c r="J14" s="95">
        <v>1653</v>
      </c>
      <c r="K14" s="95">
        <v>1652</v>
      </c>
      <c r="AMK14"/>
    </row>
    <row r="15" spans="1:12 1025:1025" x14ac:dyDescent="0.2">
      <c r="A15" s="87" t="s">
        <v>43</v>
      </c>
      <c r="B15" s="95">
        <v>20906</v>
      </c>
      <c r="C15" s="95">
        <v>22863</v>
      </c>
      <c r="D15" s="95">
        <v>25414</v>
      </c>
      <c r="E15" s="95">
        <v>28686</v>
      </c>
      <c r="F15" s="95">
        <v>30418</v>
      </c>
      <c r="G15" s="95">
        <v>32783</v>
      </c>
      <c r="H15" s="95">
        <v>33270</v>
      </c>
      <c r="I15" s="95">
        <v>33469.19</v>
      </c>
      <c r="J15" s="95">
        <v>34604</v>
      </c>
      <c r="K15" s="95">
        <v>34409</v>
      </c>
      <c r="AMK15"/>
    </row>
    <row r="16" spans="1:12 1025:1025" x14ac:dyDescent="0.2">
      <c r="A16" s="87" t="s">
        <v>44</v>
      </c>
      <c r="B16" s="95">
        <v>4628</v>
      </c>
      <c r="C16" s="87">
        <v>5543</v>
      </c>
      <c r="D16" s="95">
        <v>6838</v>
      </c>
      <c r="E16" s="87">
        <v>7601</v>
      </c>
      <c r="F16" s="95">
        <v>8305</v>
      </c>
      <c r="G16" s="95">
        <v>8795</v>
      </c>
      <c r="H16" s="95">
        <v>9232</v>
      </c>
      <c r="I16" s="95">
        <v>9561.69</v>
      </c>
      <c r="J16" s="95">
        <v>10182</v>
      </c>
      <c r="K16" s="95">
        <v>10959</v>
      </c>
      <c r="AMK16"/>
    </row>
    <row r="17" spans="1:11 1025:1025" x14ac:dyDescent="0.2">
      <c r="A17" s="87" t="s">
        <v>45</v>
      </c>
      <c r="B17" s="95">
        <v>2847</v>
      </c>
      <c r="C17" s="87">
        <v>3136</v>
      </c>
      <c r="D17" s="95">
        <v>3197</v>
      </c>
      <c r="E17" s="87">
        <v>3322</v>
      </c>
      <c r="F17" s="95">
        <v>3461</v>
      </c>
      <c r="G17" s="95">
        <v>3628</v>
      </c>
      <c r="H17" s="95">
        <v>3445</v>
      </c>
      <c r="I17" s="95">
        <v>3297.38</v>
      </c>
      <c r="J17" s="95">
        <v>3617</v>
      </c>
      <c r="K17" s="95">
        <v>3146</v>
      </c>
      <c r="AMK17"/>
    </row>
    <row r="18" spans="1:11 1025:1025" x14ac:dyDescent="0.2">
      <c r="A18" s="87" t="s">
        <v>46</v>
      </c>
      <c r="B18" s="95">
        <v>7259</v>
      </c>
      <c r="C18" s="87">
        <v>8280</v>
      </c>
      <c r="D18" s="95">
        <v>8915</v>
      </c>
      <c r="E18" s="95">
        <v>9486</v>
      </c>
      <c r="F18" s="95">
        <v>9958</v>
      </c>
      <c r="G18" s="95">
        <v>10149</v>
      </c>
      <c r="H18" s="95">
        <v>10041</v>
      </c>
      <c r="I18" s="95">
        <v>9424.6</v>
      </c>
      <c r="J18" s="95">
        <v>10785</v>
      </c>
      <c r="K18" s="95">
        <v>11172</v>
      </c>
      <c r="AMK18"/>
    </row>
    <row r="19" spans="1:11 1025:1025" x14ac:dyDescent="0.2">
      <c r="A19" s="87" t="s">
        <v>47</v>
      </c>
      <c r="B19" s="95">
        <v>30065</v>
      </c>
      <c r="C19" s="95">
        <v>32459</v>
      </c>
      <c r="D19" s="95">
        <v>37422</v>
      </c>
      <c r="E19" s="95">
        <v>42003</v>
      </c>
      <c r="F19" s="95">
        <v>44663</v>
      </c>
      <c r="G19" s="95">
        <v>46187</v>
      </c>
      <c r="H19" s="95">
        <v>47084</v>
      </c>
      <c r="I19" s="95">
        <v>48438</v>
      </c>
      <c r="J19" s="95">
        <v>50807</v>
      </c>
      <c r="K19" s="95">
        <v>53820</v>
      </c>
      <c r="AMK19"/>
    </row>
    <row r="20" spans="1:11 1025:1025" x14ac:dyDescent="0.2">
      <c r="A20" s="84" t="s">
        <v>48</v>
      </c>
      <c r="B20" s="96">
        <v>189183</v>
      </c>
      <c r="C20" s="96">
        <v>210520</v>
      </c>
      <c r="D20" s="96">
        <v>237941</v>
      </c>
      <c r="E20" s="96">
        <v>263269</v>
      </c>
      <c r="F20" s="96">
        <v>277001</v>
      </c>
      <c r="G20" s="96">
        <v>288105</v>
      </c>
      <c r="H20" s="96">
        <v>293128</v>
      </c>
      <c r="I20" s="96">
        <f>SUM(I3:I19)</f>
        <v>295082.72000000003</v>
      </c>
      <c r="J20" s="96">
        <f>SUM(J3:J19)</f>
        <v>303622</v>
      </c>
      <c r="K20" s="96">
        <f>SUM(K3:K19)</f>
        <v>312585.59999999998</v>
      </c>
      <c r="AMK20"/>
    </row>
    <row r="21" spans="1:11 1025:1025" x14ac:dyDescent="0.2">
      <c r="A21" s="236" t="s">
        <v>380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AMK21"/>
    </row>
    <row r="22" spans="1:11 1025:1025" x14ac:dyDescent="0.2">
      <c r="D22"/>
      <c r="E22"/>
    </row>
  </sheetData>
  <mergeCells count="2">
    <mergeCell ref="A1:K1"/>
    <mergeCell ref="A21:K2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MK14"/>
  <sheetViews>
    <sheetView zoomScaleNormal="100" workbookViewId="0">
      <selection activeCell="B2" sqref="B2:O3"/>
    </sheetView>
  </sheetViews>
  <sheetFormatPr baseColWidth="10" defaultColWidth="9.140625" defaultRowHeight="12.75" x14ac:dyDescent="0.2"/>
  <cols>
    <col min="1" max="1" width="18.42578125" style="1"/>
    <col min="2" max="6" width="9.140625" style="1" customWidth="1"/>
    <col min="7" max="8" width="10" style="1" customWidth="1"/>
    <col min="9" max="10" width="8.7109375" style="1"/>
    <col min="11" max="11" width="7.28515625" style="1" customWidth="1"/>
    <col min="12" max="12" width="8.42578125" style="1"/>
    <col min="13" max="13" width="7.28515625" style="1"/>
    <col min="14" max="14" width="7.28515625" style="1" customWidth="1"/>
    <col min="15" max="15" width="7.28515625" style="1"/>
    <col min="16" max="16" width="11" style="1" customWidth="1"/>
    <col min="17" max="1025" width="11" style="1"/>
  </cols>
  <sheetData>
    <row r="1" spans="1:17" x14ac:dyDescent="0.2">
      <c r="A1" s="237" t="s">
        <v>310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x14ac:dyDescent="0.2">
      <c r="A2" s="238"/>
      <c r="B2" s="239" t="s">
        <v>0</v>
      </c>
      <c r="C2" s="240"/>
      <c r="D2" s="240"/>
      <c r="E2" s="240"/>
      <c r="F2" s="240"/>
      <c r="G2" s="240"/>
      <c r="H2" s="241"/>
      <c r="I2" s="231" t="s">
        <v>1</v>
      </c>
      <c r="J2" s="231"/>
      <c r="K2" s="231"/>
      <c r="L2" s="231"/>
      <c r="M2" s="231" t="s">
        <v>2</v>
      </c>
      <c r="N2" s="231"/>
      <c r="O2" s="231"/>
    </row>
    <row r="3" spans="1:17" x14ac:dyDescent="0.2">
      <c r="A3" s="238"/>
      <c r="B3" s="186">
        <v>2015</v>
      </c>
      <c r="C3" s="186">
        <v>2016</v>
      </c>
      <c r="D3" s="186">
        <v>2017</v>
      </c>
      <c r="E3" s="186">
        <v>2018</v>
      </c>
      <c r="F3" s="186">
        <v>2019</v>
      </c>
      <c r="G3" s="186">
        <v>2020</v>
      </c>
      <c r="H3" s="186">
        <v>2021</v>
      </c>
      <c r="I3" s="186" t="s">
        <v>241</v>
      </c>
      <c r="J3" s="186" t="s">
        <v>236</v>
      </c>
      <c r="K3" s="186" t="s">
        <v>242</v>
      </c>
      <c r="L3" s="186" t="s">
        <v>240</v>
      </c>
      <c r="M3" s="186">
        <v>2015</v>
      </c>
      <c r="N3" s="186">
        <v>2020</v>
      </c>
      <c r="O3" s="186">
        <v>2021</v>
      </c>
      <c r="Q3" s="1">
        <v>2022</v>
      </c>
    </row>
    <row r="4" spans="1:17" x14ac:dyDescent="0.2">
      <c r="A4" s="87" t="s">
        <v>13</v>
      </c>
      <c r="B4" s="99">
        <v>30958.850999999999</v>
      </c>
      <c r="C4" s="99">
        <v>39197.406999999999</v>
      </c>
      <c r="D4" s="99">
        <v>44478.195</v>
      </c>
      <c r="E4" s="99">
        <v>48118.262000000002</v>
      </c>
      <c r="F4" s="99">
        <v>51543.209000000003</v>
      </c>
      <c r="G4" s="99">
        <v>47360.156000000003</v>
      </c>
      <c r="H4" s="99">
        <v>53770.205999999998</v>
      </c>
      <c r="I4" s="100">
        <f>H4-B4</f>
        <v>22811.355</v>
      </c>
      <c r="J4" s="100">
        <f>H4-G4</f>
        <v>6410.0499999999956</v>
      </c>
      <c r="K4" s="101">
        <f>((H4/B4)-1)</f>
        <v>0.73682821755884942</v>
      </c>
      <c r="L4" s="101">
        <f>((H4/G4)-1)</f>
        <v>0.13534689370533304</v>
      </c>
      <c r="M4" s="101">
        <f t="shared" ref="M4:M10" si="0">B4/119546.11</f>
        <v>0.25896995728259165</v>
      </c>
      <c r="N4" s="101">
        <v>0.31569785761446928</v>
      </c>
      <c r="O4" s="101">
        <f>H4/189437.18</f>
        <v>0.28384188362601259</v>
      </c>
      <c r="Q4" s="1">
        <v>101511.149</v>
      </c>
    </row>
    <row r="5" spans="1:17" x14ac:dyDescent="0.2">
      <c r="A5" s="87" t="s">
        <v>14</v>
      </c>
      <c r="B5" s="99">
        <v>30058.467000000001</v>
      </c>
      <c r="C5" s="99">
        <v>30974.03</v>
      </c>
      <c r="D5" s="99">
        <v>38629.898999999998</v>
      </c>
      <c r="E5" s="99">
        <v>37647.845999999998</v>
      </c>
      <c r="F5" s="99">
        <v>37520.542999999998</v>
      </c>
      <c r="G5" s="99">
        <v>38347.218999999997</v>
      </c>
      <c r="H5" s="99">
        <v>59749.692999999999</v>
      </c>
      <c r="I5" s="100">
        <f t="shared" ref="I5:I9" si="1">H5-B5</f>
        <v>29691.225999999999</v>
      </c>
      <c r="J5" s="100">
        <f t="shared" ref="J5:J9" si="2">H5-G5</f>
        <v>21402.474000000002</v>
      </c>
      <c r="K5" s="101">
        <f t="shared" ref="K5:K10" si="3">((H5/B5)-1)</f>
        <v>0.98778244412797234</v>
      </c>
      <c r="L5" s="101">
        <f t="shared" ref="L5:L10" si="4">((H5/G5)-1)</f>
        <v>0.55812323704621192</v>
      </c>
      <c r="M5" s="101">
        <f t="shared" si="0"/>
        <v>0.25143826930043983</v>
      </c>
      <c r="N5" s="101">
        <v>0.25561856011987943</v>
      </c>
      <c r="O5" s="101">
        <f t="shared" ref="O5:O9" si="5">H5/189437.18</f>
        <v>0.31540636848584847</v>
      </c>
      <c r="Q5" s="1">
        <v>68611.312999999995</v>
      </c>
    </row>
    <row r="6" spans="1:17" x14ac:dyDescent="0.2">
      <c r="A6" s="87" t="s">
        <v>15</v>
      </c>
      <c r="B6" s="99">
        <v>16408.835999999999</v>
      </c>
      <c r="C6" s="99">
        <v>14908.745000000001</v>
      </c>
      <c r="D6" s="99">
        <v>17580.616999999998</v>
      </c>
      <c r="E6" s="99">
        <v>16977.805</v>
      </c>
      <c r="F6" s="99">
        <v>18515.026999999998</v>
      </c>
      <c r="G6" s="99">
        <v>17340.037</v>
      </c>
      <c r="H6" s="99">
        <v>18588.483</v>
      </c>
      <c r="I6" s="100">
        <f t="shared" si="1"/>
        <v>2179.6470000000008</v>
      </c>
      <c r="J6" s="100">
        <f t="shared" si="2"/>
        <v>1248.4459999999999</v>
      </c>
      <c r="K6" s="101">
        <f t="shared" si="3"/>
        <v>0.13283373665261822</v>
      </c>
      <c r="L6" s="101">
        <f t="shared" si="4"/>
        <v>7.1997885586980059E-2</v>
      </c>
      <c r="M6" s="101">
        <f t="shared" si="0"/>
        <v>0.13725947251650431</v>
      </c>
      <c r="N6" s="101">
        <v>0.11558687711788003</v>
      </c>
      <c r="O6" s="101">
        <f t="shared" si="5"/>
        <v>9.8124787330554644E-2</v>
      </c>
      <c r="Q6" s="1">
        <v>54890.873</v>
      </c>
    </row>
    <row r="7" spans="1:17" x14ac:dyDescent="0.2">
      <c r="A7" s="87" t="s">
        <v>16</v>
      </c>
      <c r="B7" s="99">
        <v>8342.6029999999992</v>
      </c>
      <c r="C7" s="99">
        <v>7602.1369999999997</v>
      </c>
      <c r="D7" s="99">
        <v>9323.7090000000007</v>
      </c>
      <c r="E7" s="99">
        <v>8357.5220000000008</v>
      </c>
      <c r="F7" s="99">
        <v>11787.950999999999</v>
      </c>
      <c r="G7" s="99">
        <v>8952.6959999999999</v>
      </c>
      <c r="H7" s="99">
        <v>12002.963</v>
      </c>
      <c r="I7" s="100">
        <f t="shared" si="1"/>
        <v>3660.3600000000006</v>
      </c>
      <c r="J7" s="100">
        <f t="shared" si="2"/>
        <v>3050.2669999999998</v>
      </c>
      <c r="K7" s="101">
        <f t="shared" si="3"/>
        <v>0.43875514632543355</v>
      </c>
      <c r="L7" s="101">
        <f t="shared" si="4"/>
        <v>0.34070932376124463</v>
      </c>
      <c r="M7" s="101">
        <f t="shared" si="0"/>
        <v>6.9785650072595407E-2</v>
      </c>
      <c r="N7" s="101">
        <v>5.9677737275055182E-2</v>
      </c>
      <c r="O7" s="101">
        <f t="shared" si="5"/>
        <v>6.3361178623963899E-2</v>
      </c>
      <c r="Q7" s="1">
        <v>12898.824000000001</v>
      </c>
    </row>
    <row r="8" spans="1:17" x14ac:dyDescent="0.2">
      <c r="A8" s="87" t="s">
        <v>17</v>
      </c>
      <c r="B8" s="99">
        <v>33091.571000000004</v>
      </c>
      <c r="C8" s="99">
        <v>31541.958999999999</v>
      </c>
      <c r="D8" s="99">
        <v>33778.142</v>
      </c>
      <c r="E8" s="99">
        <v>35628.525000000001</v>
      </c>
      <c r="F8" s="99">
        <v>37293.357000000004</v>
      </c>
      <c r="G8" s="99">
        <f>36446.988+642.076</f>
        <v>37089.063999999998</v>
      </c>
      <c r="H8" s="99">
        <f>42338.011+685.577</f>
        <v>43023.587999999996</v>
      </c>
      <c r="I8" s="100">
        <f t="shared" si="1"/>
        <v>9932.0169999999925</v>
      </c>
      <c r="J8" s="100">
        <f t="shared" si="2"/>
        <v>5934.5239999999976</v>
      </c>
      <c r="K8" s="101">
        <f t="shared" si="3"/>
        <v>0.30013736730722118</v>
      </c>
      <c r="L8" s="101">
        <f t="shared" si="4"/>
        <v>0.16000738115148971</v>
      </c>
      <c r="M8" s="101">
        <f t="shared" si="0"/>
        <v>0.27681010281304846</v>
      </c>
      <c r="N8" s="101">
        <v>0.24723183018497524</v>
      </c>
      <c r="O8" s="101">
        <f t="shared" si="5"/>
        <v>0.22711269245034157</v>
      </c>
      <c r="Q8" s="1">
        <f>42916.136+5445.893</f>
        <v>48362.028999999995</v>
      </c>
    </row>
    <row r="9" spans="1:17" x14ac:dyDescent="0.2">
      <c r="A9" s="87" t="s">
        <v>18</v>
      </c>
      <c r="B9" s="99">
        <v>685.78200000000004</v>
      </c>
      <c r="C9" s="99">
        <v>343.07799999999997</v>
      </c>
      <c r="D9" s="99">
        <v>1283.1690000000001</v>
      </c>
      <c r="E9" s="99">
        <v>795.05899999999997</v>
      </c>
      <c r="F9" s="99">
        <v>731.46400000000006</v>
      </c>
      <c r="G9" s="99">
        <v>928.17700000000002</v>
      </c>
      <c r="H9" s="99">
        <v>2302.25</v>
      </c>
      <c r="I9" s="100">
        <f t="shared" si="1"/>
        <v>1616.4679999999998</v>
      </c>
      <c r="J9" s="100">
        <f t="shared" si="2"/>
        <v>1374.0729999999999</v>
      </c>
      <c r="K9" s="101">
        <f t="shared" si="3"/>
        <v>2.3571164014220258</v>
      </c>
      <c r="L9" s="101">
        <f t="shared" si="4"/>
        <v>1.4803997513405309</v>
      </c>
      <c r="M9" s="101">
        <f t="shared" si="0"/>
        <v>5.7365480148203907E-3</v>
      </c>
      <c r="N9" s="101">
        <v>6.1871310218451396E-3</v>
      </c>
      <c r="O9" s="101">
        <f t="shared" si="5"/>
        <v>1.2153105319663226E-2</v>
      </c>
      <c r="Q9" s="1">
        <v>1327.1669999999999</v>
      </c>
    </row>
    <row r="10" spans="1:17" x14ac:dyDescent="0.2">
      <c r="A10" s="84" t="s">
        <v>19</v>
      </c>
      <c r="B10" s="102">
        <f t="shared" ref="B10:H10" si="6">SUM(B4:B9)</f>
        <v>119546.11000000002</v>
      </c>
      <c r="C10" s="102">
        <f t="shared" si="6"/>
        <v>124567.356</v>
      </c>
      <c r="D10" s="102">
        <f t="shared" si="6"/>
        <v>145073.731</v>
      </c>
      <c r="E10" s="102">
        <f t="shared" si="6"/>
        <v>147525.019</v>
      </c>
      <c r="F10" s="102">
        <f t="shared" si="6"/>
        <v>157391.55100000001</v>
      </c>
      <c r="G10" s="102">
        <f t="shared" si="6"/>
        <v>150017.34899999999</v>
      </c>
      <c r="H10" s="102">
        <f t="shared" si="6"/>
        <v>189437.18299999999</v>
      </c>
      <c r="I10" s="102">
        <f>H10-B10</f>
        <v>69891.072999999975</v>
      </c>
      <c r="J10" s="102">
        <f>H10-G10</f>
        <v>39419.834000000003</v>
      </c>
      <c r="K10" s="103">
        <f t="shared" si="3"/>
        <v>0.58463694887269835</v>
      </c>
      <c r="L10" s="103">
        <f t="shared" si="4"/>
        <v>0.26276850152844666</v>
      </c>
      <c r="M10" s="103">
        <f t="shared" si="0"/>
        <v>1.0000000000000002</v>
      </c>
      <c r="N10" s="103">
        <v>0.99999999333410428</v>
      </c>
      <c r="O10" s="103">
        <f>SUM(O4:O9)</f>
        <v>1.0000000158363844</v>
      </c>
      <c r="Q10" s="1">
        <f>SUM(Q4:Q9)</f>
        <v>287601.35499999998</v>
      </c>
    </row>
    <row r="11" spans="1:17" x14ac:dyDescent="0.2">
      <c r="A11" s="236" t="s">
        <v>379</v>
      </c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</row>
    <row r="12" spans="1:17" x14ac:dyDescent="0.2">
      <c r="F12"/>
      <c r="G12"/>
      <c r="H12"/>
      <c r="I12"/>
    </row>
    <row r="13" spans="1:17" x14ac:dyDescent="0.2">
      <c r="F13"/>
      <c r="G13"/>
      <c r="H13"/>
      <c r="I13"/>
    </row>
    <row r="14" spans="1:17" x14ac:dyDescent="0.2">
      <c r="F14"/>
      <c r="G14"/>
      <c r="H14"/>
      <c r="I14"/>
    </row>
  </sheetData>
  <mergeCells count="6">
    <mergeCell ref="A11:O11"/>
    <mergeCell ref="A1:O1"/>
    <mergeCell ref="A2:A3"/>
    <mergeCell ref="I2:L2"/>
    <mergeCell ref="M2:O2"/>
    <mergeCell ref="B2:H2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MK24"/>
  <sheetViews>
    <sheetView zoomScaleNormal="100" workbookViewId="0">
      <selection activeCell="A4" sqref="A4:A20"/>
    </sheetView>
  </sheetViews>
  <sheetFormatPr baseColWidth="10" defaultColWidth="9.140625" defaultRowHeight="12.75" x14ac:dyDescent="0.2"/>
  <cols>
    <col min="1" max="1" width="8.28515625" style="1"/>
    <col min="2" max="2" width="20.85546875" style="1"/>
    <col min="3" max="3" width="11" style="1"/>
    <col min="4" max="4" width="12.28515625" style="1" customWidth="1"/>
    <col min="5" max="5" width="11" style="1"/>
    <col min="6" max="6" width="11.7109375" style="1" customWidth="1"/>
    <col min="7" max="7" width="11" style="1"/>
    <col min="8" max="8" width="11.7109375" style="1" customWidth="1"/>
    <col min="9" max="9" width="11" style="1"/>
    <col min="10" max="10" width="11.85546875" style="1" customWidth="1"/>
    <col min="11" max="11" width="11" style="1"/>
    <col min="12" max="12" width="11.7109375" style="1" customWidth="1"/>
    <col min="13" max="1025" width="11" style="1"/>
  </cols>
  <sheetData>
    <row r="1" spans="1:12" ht="15" customHeight="1" x14ac:dyDescent="0.2">
      <c r="A1" s="237" t="s">
        <v>338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1:12" x14ac:dyDescent="0.2">
      <c r="A2" s="238"/>
      <c r="B2" s="238"/>
      <c r="C2" s="231" t="s">
        <v>20</v>
      </c>
      <c r="D2" s="231"/>
      <c r="E2" s="233" t="s">
        <v>21</v>
      </c>
      <c r="F2" s="233"/>
      <c r="G2" s="231" t="s">
        <v>22</v>
      </c>
      <c r="H2" s="231"/>
      <c r="I2" s="231" t="s">
        <v>23</v>
      </c>
      <c r="J2" s="231"/>
      <c r="K2" s="231" t="s">
        <v>24</v>
      </c>
      <c r="L2" s="231"/>
    </row>
    <row r="3" spans="1:12" x14ac:dyDescent="0.2">
      <c r="A3" s="238"/>
      <c r="B3" s="238"/>
      <c r="C3" s="186" t="s">
        <v>25</v>
      </c>
      <c r="D3" s="186" t="s">
        <v>26</v>
      </c>
      <c r="E3" s="186" t="s">
        <v>25</v>
      </c>
      <c r="F3" s="186" t="s">
        <v>26</v>
      </c>
      <c r="G3" s="186" t="s">
        <v>25</v>
      </c>
      <c r="H3" s="186" t="s">
        <v>26</v>
      </c>
      <c r="I3" s="186" t="s">
        <v>25</v>
      </c>
      <c r="J3" s="186" t="s">
        <v>26</v>
      </c>
      <c r="K3" s="186" t="s">
        <v>25</v>
      </c>
      <c r="L3" s="186" t="s">
        <v>26</v>
      </c>
    </row>
    <row r="4" spans="1:12" x14ac:dyDescent="0.2">
      <c r="A4" s="242" t="s">
        <v>27</v>
      </c>
      <c r="B4" s="87" t="s">
        <v>339</v>
      </c>
      <c r="C4" s="99">
        <v>68114.925000000003</v>
      </c>
      <c r="D4" s="104">
        <f>C4/588965.27</f>
        <v>0.11565185329179087</v>
      </c>
      <c r="E4" s="99">
        <v>28963.258999999998</v>
      </c>
      <c r="F4" s="104">
        <f>E4/103206.6</f>
        <v>0.28063378698649116</v>
      </c>
      <c r="G4" s="105">
        <v>38978.519999999997</v>
      </c>
      <c r="H4" s="104">
        <f>G4/125024.13</f>
        <v>0.31176797630985309</v>
      </c>
      <c r="I4" s="105">
        <v>162.042</v>
      </c>
      <c r="J4" s="104">
        <f>I4/6746.38</f>
        <v>2.4019103578511735E-2</v>
      </c>
      <c r="K4" s="105">
        <f t="shared" ref="K4:K19" si="0">C4+E4+G4+I4</f>
        <v>136218.74599999998</v>
      </c>
      <c r="L4" s="64">
        <f>K4/823942.38</f>
        <v>0.1653255728877546</v>
      </c>
    </row>
    <row r="5" spans="1:12" x14ac:dyDescent="0.2">
      <c r="A5" s="242"/>
      <c r="B5" s="87" t="s">
        <v>324</v>
      </c>
      <c r="C5" s="99">
        <v>178203.87299999999</v>
      </c>
      <c r="D5" s="104">
        <f t="shared" ref="D5:D19" si="1">C5/588965.27</f>
        <v>0.30257110576316321</v>
      </c>
      <c r="E5" s="99">
        <v>62637.775000000001</v>
      </c>
      <c r="F5" s="104">
        <f t="shared" ref="F5:F20" si="2">E5/103206.6</f>
        <v>0.60691636968953533</v>
      </c>
      <c r="G5" s="105">
        <v>29357.405999999999</v>
      </c>
      <c r="H5" s="104">
        <f t="shared" ref="H5:H20" si="3">G5/125024.13</f>
        <v>0.23481391952097566</v>
      </c>
      <c r="I5" s="105">
        <v>5491.2209999999995</v>
      </c>
      <c r="J5" s="104">
        <f t="shared" ref="J5:J20" si="4">I5/6746.38</f>
        <v>0.81395074098998266</v>
      </c>
      <c r="K5" s="105">
        <f t="shared" si="0"/>
        <v>275690.27500000002</v>
      </c>
      <c r="L5" s="64">
        <f t="shared" ref="L5:L19" si="5">K5/823942.38</f>
        <v>0.33459897402048916</v>
      </c>
    </row>
    <row r="6" spans="1:12" x14ac:dyDescent="0.2">
      <c r="A6" s="242"/>
      <c r="B6" s="87" t="s">
        <v>325</v>
      </c>
      <c r="C6" s="99">
        <v>5486.5</v>
      </c>
      <c r="D6" s="104">
        <f t="shared" si="1"/>
        <v>9.3154898590200406E-3</v>
      </c>
      <c r="E6" s="99">
        <v>765</v>
      </c>
      <c r="F6" s="104">
        <f t="shared" si="2"/>
        <v>7.4123166541674654E-3</v>
      </c>
      <c r="G6" s="105">
        <v>207.542</v>
      </c>
      <c r="H6" s="104">
        <f t="shared" si="3"/>
        <v>1.6600155505981124E-3</v>
      </c>
      <c r="I6" s="105">
        <v>0</v>
      </c>
      <c r="J6" s="104">
        <f t="shared" si="4"/>
        <v>0</v>
      </c>
      <c r="K6" s="105">
        <f t="shared" si="0"/>
        <v>6459.0420000000004</v>
      </c>
      <c r="L6" s="64">
        <f t="shared" si="5"/>
        <v>7.8391913764649414E-3</v>
      </c>
    </row>
    <row r="7" spans="1:12" x14ac:dyDescent="0.2">
      <c r="A7" s="242"/>
      <c r="B7" s="87" t="s">
        <v>340</v>
      </c>
      <c r="C7" s="99">
        <v>0</v>
      </c>
      <c r="D7" s="104">
        <f t="shared" si="1"/>
        <v>0</v>
      </c>
      <c r="E7" s="99">
        <v>0</v>
      </c>
      <c r="F7" s="104">
        <f t="shared" si="2"/>
        <v>0</v>
      </c>
      <c r="G7" s="105">
        <v>0</v>
      </c>
      <c r="H7" s="104">
        <f t="shared" si="3"/>
        <v>0</v>
      </c>
      <c r="I7" s="105">
        <v>0</v>
      </c>
      <c r="J7" s="104">
        <f t="shared" si="4"/>
        <v>0</v>
      </c>
      <c r="K7" s="105">
        <f t="shared" si="0"/>
        <v>0</v>
      </c>
      <c r="L7" s="64">
        <f t="shared" si="5"/>
        <v>0</v>
      </c>
    </row>
    <row r="8" spans="1:12" x14ac:dyDescent="0.2">
      <c r="A8" s="242"/>
      <c r="B8" s="87" t="s">
        <v>327</v>
      </c>
      <c r="C8" s="99">
        <v>187309.46100000001</v>
      </c>
      <c r="D8" s="104">
        <f t="shared" si="1"/>
        <v>0.31803141974738169</v>
      </c>
      <c r="E8" s="99">
        <v>10299.227999999999</v>
      </c>
      <c r="F8" s="104">
        <f t="shared" si="2"/>
        <v>9.9792338862049509E-2</v>
      </c>
      <c r="G8" s="105">
        <v>15051.235000000001</v>
      </c>
      <c r="H8" s="104">
        <f t="shared" si="3"/>
        <v>0.12038664056290574</v>
      </c>
      <c r="I8" s="105">
        <v>160</v>
      </c>
      <c r="J8" s="104">
        <f t="shared" si="4"/>
        <v>2.3716422733377009E-2</v>
      </c>
      <c r="K8" s="105">
        <f t="shared" si="0"/>
        <v>212819.924</v>
      </c>
      <c r="L8" s="64">
        <f t="shared" si="5"/>
        <v>0.25829466861505535</v>
      </c>
    </row>
    <row r="9" spans="1:12" x14ac:dyDescent="0.2">
      <c r="A9" s="242"/>
      <c r="B9" s="87" t="s">
        <v>328</v>
      </c>
      <c r="C9" s="99">
        <v>122510.018</v>
      </c>
      <c r="D9" s="104">
        <f t="shared" si="1"/>
        <v>0.20800890008336143</v>
      </c>
      <c r="E9" s="99">
        <v>541.34</v>
      </c>
      <c r="F9" s="104">
        <f t="shared" si="2"/>
        <v>5.2452071863621124E-3</v>
      </c>
      <c r="G9" s="105">
        <v>41429.423999999999</v>
      </c>
      <c r="H9" s="104">
        <f t="shared" si="3"/>
        <v>0.3313714240602994</v>
      </c>
      <c r="I9" s="105">
        <v>933.11699999999996</v>
      </c>
      <c r="J9" s="104">
        <f t="shared" si="4"/>
        <v>0.13831373269812847</v>
      </c>
      <c r="K9" s="105">
        <f t="shared" si="0"/>
        <v>165413.899</v>
      </c>
      <c r="L9" s="64">
        <f t="shared" si="5"/>
        <v>0.20075906157418436</v>
      </c>
    </row>
    <row r="10" spans="1:12" x14ac:dyDescent="0.2">
      <c r="A10" s="242"/>
      <c r="B10" s="87" t="s">
        <v>329</v>
      </c>
      <c r="C10" s="99">
        <v>27340.492999999999</v>
      </c>
      <c r="D10" s="104">
        <f t="shared" si="1"/>
        <v>4.642123125528267E-2</v>
      </c>
      <c r="E10" s="99">
        <v>0</v>
      </c>
      <c r="F10" s="104">
        <f t="shared" si="2"/>
        <v>0</v>
      </c>
      <c r="G10" s="105">
        <v>0</v>
      </c>
      <c r="H10" s="104">
        <f t="shared" si="3"/>
        <v>0</v>
      </c>
      <c r="I10" s="105">
        <v>0</v>
      </c>
      <c r="J10" s="104">
        <f t="shared" si="4"/>
        <v>0</v>
      </c>
      <c r="K10" s="105">
        <f t="shared" si="0"/>
        <v>27340.492999999999</v>
      </c>
      <c r="L10" s="64">
        <f t="shared" si="5"/>
        <v>3.318253031237451E-2</v>
      </c>
    </row>
    <row r="11" spans="1:12" x14ac:dyDescent="0.2">
      <c r="A11" s="242"/>
      <c r="B11" s="59" t="s">
        <v>28</v>
      </c>
      <c r="C11" s="60">
        <f>SUM(C4:C10)</f>
        <v>588965.27</v>
      </c>
      <c r="D11" s="61">
        <f>SUM(D4:D10)</f>
        <v>0.99999999999999989</v>
      </c>
      <c r="E11" s="60">
        <f t="shared" ref="E11:I11" si="6">SUM(E4:E10)</f>
        <v>103206.602</v>
      </c>
      <c r="F11" s="61">
        <f t="shared" si="2"/>
        <v>1.0000000193786056</v>
      </c>
      <c r="G11" s="62">
        <f t="shared" si="6"/>
        <v>125024.12699999999</v>
      </c>
      <c r="H11" s="61">
        <f t="shared" si="3"/>
        <v>0.99999997600463197</v>
      </c>
      <c r="I11" s="62">
        <f t="shared" si="6"/>
        <v>6746.38</v>
      </c>
      <c r="J11" s="61">
        <f t="shared" si="4"/>
        <v>1</v>
      </c>
      <c r="K11" s="62">
        <f t="shared" si="0"/>
        <v>823942.37899999996</v>
      </c>
      <c r="L11" s="63">
        <f>SUM(L4:L10)</f>
        <v>0.99999999878632284</v>
      </c>
    </row>
    <row r="12" spans="1:12" x14ac:dyDescent="0.2">
      <c r="A12" s="243" t="s">
        <v>29</v>
      </c>
      <c r="B12" s="87" t="s">
        <v>333</v>
      </c>
      <c r="C12" s="99">
        <v>94383.019</v>
      </c>
      <c r="D12" s="104">
        <f t="shared" si="1"/>
        <v>0.16025226580847457</v>
      </c>
      <c r="E12" s="99">
        <v>62610.644999999997</v>
      </c>
      <c r="F12" s="104">
        <f t="shared" si="2"/>
        <v>0.60665349890413978</v>
      </c>
      <c r="G12" s="105">
        <v>5290.2110000000002</v>
      </c>
      <c r="H12" s="104">
        <f t="shared" si="3"/>
        <v>4.2313519798138167E-2</v>
      </c>
      <c r="I12" s="105">
        <v>4602.4250000000002</v>
      </c>
      <c r="J12" s="104">
        <f t="shared" si="4"/>
        <v>0.68220660561664181</v>
      </c>
      <c r="K12" s="105">
        <f t="shared" si="0"/>
        <v>166886.29999999999</v>
      </c>
      <c r="L12" s="64">
        <f t="shared" si="5"/>
        <v>0.20254608095289381</v>
      </c>
    </row>
    <row r="13" spans="1:12" x14ac:dyDescent="0.2">
      <c r="A13" s="243"/>
      <c r="B13" s="87" t="s">
        <v>341</v>
      </c>
      <c r="C13" s="99">
        <v>126162.012</v>
      </c>
      <c r="D13" s="104">
        <f t="shared" si="1"/>
        <v>0.2142095950751052</v>
      </c>
      <c r="E13" s="99">
        <v>27449.385999999999</v>
      </c>
      <c r="F13" s="104">
        <f t="shared" si="2"/>
        <v>0.26596541306466831</v>
      </c>
      <c r="G13" s="105">
        <v>57883.313999999998</v>
      </c>
      <c r="H13" s="104">
        <f t="shared" si="3"/>
        <v>0.46297713889310804</v>
      </c>
      <c r="I13" s="105">
        <v>1050.838</v>
      </c>
      <c r="J13" s="104">
        <f t="shared" si="4"/>
        <v>0.15576323895185268</v>
      </c>
      <c r="K13" s="105">
        <f t="shared" si="0"/>
        <v>212545.55</v>
      </c>
      <c r="L13" s="64">
        <f t="shared" si="5"/>
        <v>0.25796166717386232</v>
      </c>
    </row>
    <row r="14" spans="1:12" x14ac:dyDescent="0.2">
      <c r="A14" s="243"/>
      <c r="B14" s="87" t="s">
        <v>335</v>
      </c>
      <c r="C14" s="99">
        <v>12497.356</v>
      </c>
      <c r="D14" s="104">
        <f t="shared" si="1"/>
        <v>2.1219173076198531E-2</v>
      </c>
      <c r="E14" s="99">
        <v>255.916</v>
      </c>
      <c r="F14" s="104">
        <f t="shared" si="2"/>
        <v>2.4796476194351908E-3</v>
      </c>
      <c r="G14" s="105">
        <v>611.26</v>
      </c>
      <c r="H14" s="104">
        <f t="shared" si="3"/>
        <v>4.8891362011477301E-3</v>
      </c>
      <c r="I14" s="105">
        <v>0</v>
      </c>
      <c r="J14" s="104">
        <f t="shared" si="4"/>
        <v>0</v>
      </c>
      <c r="K14" s="105">
        <f t="shared" si="0"/>
        <v>13364.531999999999</v>
      </c>
      <c r="L14" s="64">
        <f t="shared" si="5"/>
        <v>1.6220226467778001E-2</v>
      </c>
    </row>
    <row r="15" spans="1:12" x14ac:dyDescent="0.2">
      <c r="A15" s="243"/>
      <c r="B15" s="87" t="s">
        <v>324</v>
      </c>
      <c r="C15" s="99">
        <v>8353.0720000000001</v>
      </c>
      <c r="D15" s="104">
        <f t="shared" si="1"/>
        <v>1.4182622347154696E-2</v>
      </c>
      <c r="E15" s="99">
        <v>2012.087</v>
      </c>
      <c r="F15" s="104">
        <f t="shared" si="2"/>
        <v>1.9495720234946213E-2</v>
      </c>
      <c r="G15" s="105">
        <v>95.486000000000004</v>
      </c>
      <c r="H15" s="104">
        <f t="shared" si="3"/>
        <v>7.637405675208458E-4</v>
      </c>
      <c r="I15" s="105">
        <v>0</v>
      </c>
      <c r="J15" s="104">
        <f t="shared" si="4"/>
        <v>0</v>
      </c>
      <c r="K15" s="105">
        <f t="shared" si="0"/>
        <v>10460.645</v>
      </c>
      <c r="L15" s="64">
        <f t="shared" si="5"/>
        <v>1.2695845308988719E-2</v>
      </c>
    </row>
    <row r="16" spans="1:12" x14ac:dyDescent="0.2">
      <c r="A16" s="243"/>
      <c r="B16" s="87" t="s">
        <v>337</v>
      </c>
      <c r="C16" s="99">
        <v>163309.37899999999</v>
      </c>
      <c r="D16" s="104">
        <f t="shared" si="1"/>
        <v>0.2772818488940782</v>
      </c>
      <c r="E16" s="99">
        <v>7000.1109999999999</v>
      </c>
      <c r="F16" s="104">
        <f t="shared" si="2"/>
        <v>6.7826195223948851E-2</v>
      </c>
      <c r="G16" s="105">
        <v>30819.742999999999</v>
      </c>
      <c r="H16" s="104">
        <f t="shared" si="3"/>
        <v>0.24651035764056103</v>
      </c>
      <c r="I16" s="105">
        <v>1093.117</v>
      </c>
      <c r="J16" s="104">
        <f t="shared" si="4"/>
        <v>0.16203015543150548</v>
      </c>
      <c r="K16" s="105">
        <f t="shared" si="0"/>
        <v>202222.34999999998</v>
      </c>
      <c r="L16" s="64">
        <f t="shared" si="5"/>
        <v>0.24543263571416241</v>
      </c>
    </row>
    <row r="17" spans="1:12" x14ac:dyDescent="0.2">
      <c r="A17" s="243"/>
      <c r="B17" s="87" t="s">
        <v>327</v>
      </c>
      <c r="C17" s="99">
        <v>117862.087</v>
      </c>
      <c r="D17" s="104">
        <f t="shared" si="1"/>
        <v>0.20011721064639346</v>
      </c>
      <c r="E17" s="99">
        <v>0</v>
      </c>
      <c r="F17" s="104">
        <f t="shared" si="2"/>
        <v>0</v>
      </c>
      <c r="G17" s="105">
        <v>29504.302</v>
      </c>
      <c r="H17" s="104">
        <f t="shared" si="3"/>
        <v>0.23598886071032846</v>
      </c>
      <c r="I17" s="105">
        <v>0</v>
      </c>
      <c r="J17" s="104">
        <f t="shared" si="4"/>
        <v>0</v>
      </c>
      <c r="K17" s="105">
        <f t="shared" si="0"/>
        <v>147366.389</v>
      </c>
      <c r="L17" s="64">
        <f t="shared" si="5"/>
        <v>0.1788552119384853</v>
      </c>
    </row>
    <row r="18" spans="1:12" x14ac:dyDescent="0.2">
      <c r="A18" s="243"/>
      <c r="B18" s="87" t="s">
        <v>342</v>
      </c>
      <c r="C18" s="99">
        <v>1200</v>
      </c>
      <c r="D18" s="104">
        <f t="shared" si="1"/>
        <v>2.0374715813039367E-3</v>
      </c>
      <c r="E18" s="99">
        <v>0</v>
      </c>
      <c r="F18" s="104">
        <f t="shared" si="2"/>
        <v>0</v>
      </c>
      <c r="G18" s="105">
        <v>0</v>
      </c>
      <c r="H18" s="104">
        <f t="shared" si="3"/>
        <v>0</v>
      </c>
      <c r="I18" s="105">
        <v>0</v>
      </c>
      <c r="J18" s="104">
        <f t="shared" si="4"/>
        <v>0</v>
      </c>
      <c r="K18" s="105">
        <f t="shared" si="0"/>
        <v>1200</v>
      </c>
      <c r="L18" s="64">
        <f t="shared" si="5"/>
        <v>1.4564125224387657E-3</v>
      </c>
    </row>
    <row r="19" spans="1:12" x14ac:dyDescent="0.2">
      <c r="A19" s="243"/>
      <c r="B19" s="87" t="s">
        <v>329</v>
      </c>
      <c r="C19" s="99">
        <v>65198.345000000001</v>
      </c>
      <c r="D19" s="104">
        <f t="shared" si="1"/>
        <v>0.11069981257129134</v>
      </c>
      <c r="E19" s="99">
        <v>3878.4569999999999</v>
      </c>
      <c r="F19" s="104">
        <f t="shared" si="2"/>
        <v>3.7579544331467173E-2</v>
      </c>
      <c r="G19" s="105">
        <v>819.81100000000004</v>
      </c>
      <c r="H19" s="104">
        <f t="shared" si="3"/>
        <v>6.5572221938277036E-3</v>
      </c>
      <c r="I19" s="105">
        <v>0</v>
      </c>
      <c r="J19" s="104">
        <f t="shared" si="4"/>
        <v>0</v>
      </c>
      <c r="K19" s="105">
        <f t="shared" si="0"/>
        <v>69896.612999999998</v>
      </c>
      <c r="L19" s="64">
        <f t="shared" si="5"/>
        <v>8.4831918707713519E-2</v>
      </c>
    </row>
    <row r="20" spans="1:12" x14ac:dyDescent="0.2">
      <c r="A20" s="243"/>
      <c r="B20" s="59" t="s">
        <v>30</v>
      </c>
      <c r="C20" s="60">
        <f>SUM(C12:C19)</f>
        <v>588965.27</v>
      </c>
      <c r="D20" s="61">
        <f>SUM(D12:D19)</f>
        <v>0.99999999999999989</v>
      </c>
      <c r="E20" s="60">
        <f t="shared" ref="E20:K20" si="7">SUM(E12:E19)</f>
        <v>103206.60199999998</v>
      </c>
      <c r="F20" s="61">
        <f t="shared" si="2"/>
        <v>1.0000000193786054</v>
      </c>
      <c r="G20" s="62">
        <f t="shared" si="7"/>
        <v>125024.12699999999</v>
      </c>
      <c r="H20" s="61">
        <f t="shared" si="3"/>
        <v>0.99999997600463197</v>
      </c>
      <c r="I20" s="62">
        <f t="shared" si="7"/>
        <v>6746.38</v>
      </c>
      <c r="J20" s="61">
        <f t="shared" si="4"/>
        <v>1</v>
      </c>
      <c r="K20" s="62">
        <f t="shared" si="7"/>
        <v>823942.37899999996</v>
      </c>
      <c r="L20" s="63">
        <f>SUM(L12:L19)</f>
        <v>0.99999999878632284</v>
      </c>
    </row>
    <row r="21" spans="1:12" ht="11.25" customHeight="1" x14ac:dyDescent="0.2">
      <c r="A21" s="228" t="s">
        <v>379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</row>
    <row r="22" spans="1:12" x14ac:dyDescent="0.2"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">
      <c r="E23"/>
      <c r="F23"/>
    </row>
    <row r="24" spans="1:12" x14ac:dyDescent="0.2">
      <c r="E24"/>
      <c r="F24"/>
    </row>
  </sheetData>
  <mergeCells count="10">
    <mergeCell ref="A4:A11"/>
    <mergeCell ref="A12:A20"/>
    <mergeCell ref="A21:L21"/>
    <mergeCell ref="A1:L1"/>
    <mergeCell ref="A2:B3"/>
    <mergeCell ref="C2:D2"/>
    <mergeCell ref="E2:F2"/>
    <mergeCell ref="G2:H2"/>
    <mergeCell ref="I2:J2"/>
    <mergeCell ref="K2:L2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MK32"/>
  <sheetViews>
    <sheetView zoomScaleNormal="100" workbookViewId="0">
      <selection activeCell="F34" sqref="F34:F36"/>
    </sheetView>
  </sheetViews>
  <sheetFormatPr baseColWidth="10" defaultColWidth="11.42578125" defaultRowHeight="12.75" x14ac:dyDescent="0.2"/>
  <cols>
    <col min="1" max="1" width="11" style="1"/>
    <col min="2" max="2" width="27.42578125" style="1" customWidth="1"/>
    <col min="3" max="4" width="12.5703125" style="1" bestFit="1" customWidth="1"/>
    <col min="5" max="5" width="11.42578125" style="12" customWidth="1"/>
    <col min="6" max="6" width="12.85546875" style="1" bestFit="1" customWidth="1"/>
    <col min="7" max="7" width="12.5703125" style="1" bestFit="1" customWidth="1"/>
    <col min="8" max="8" width="10.5703125" style="12" customWidth="1"/>
    <col min="9" max="10" width="11.5703125" style="1"/>
    <col min="11" max="11" width="10.7109375" style="12" customWidth="1"/>
    <col min="12" max="12" width="5.28515625" style="13" customWidth="1"/>
    <col min="13" max="13" width="16" style="1" customWidth="1"/>
    <col min="14" max="14" width="11.7109375" style="1" bestFit="1" customWidth="1"/>
    <col min="15" max="15" width="12.5703125" style="1" customWidth="1"/>
    <col min="16" max="16" width="11" style="1"/>
    <col min="17" max="17" width="12.7109375" style="1" bestFit="1" customWidth="1"/>
    <col min="18" max="18" width="13.5703125" style="1" customWidth="1"/>
    <col min="19" max="19" width="11.7109375" style="1" bestFit="1" customWidth="1"/>
    <col min="20" max="20" width="11" style="1"/>
    <col min="21" max="21" width="12" style="1" customWidth="1"/>
    <col min="22" max="26" width="11" style="1"/>
    <col min="27" max="27" width="13.28515625" style="1" customWidth="1"/>
    <col min="28" max="1025" width="11" style="1"/>
  </cols>
  <sheetData>
    <row r="1" spans="1:1025" x14ac:dyDescent="0.2">
      <c r="A1" s="246" t="s">
        <v>298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14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5" s="16" customFormat="1" ht="11.25" x14ac:dyDescent="0.2">
      <c r="A2" s="247"/>
      <c r="B2" s="247"/>
      <c r="C2" s="248" t="s">
        <v>49</v>
      </c>
      <c r="D2" s="248"/>
      <c r="E2" s="248"/>
      <c r="F2" s="248" t="s">
        <v>50</v>
      </c>
      <c r="G2" s="248"/>
      <c r="H2" s="248"/>
      <c r="I2" s="248" t="s">
        <v>51</v>
      </c>
      <c r="J2" s="248"/>
      <c r="K2" s="248"/>
      <c r="L2" s="15"/>
    </row>
    <row r="3" spans="1:1025" x14ac:dyDescent="0.2">
      <c r="A3" s="247"/>
      <c r="B3" s="247"/>
      <c r="C3" s="188">
        <v>2020</v>
      </c>
      <c r="D3" s="188">
        <v>2021</v>
      </c>
      <c r="E3" s="189" t="s">
        <v>343</v>
      </c>
      <c r="F3" s="188">
        <v>2020</v>
      </c>
      <c r="G3" s="188">
        <v>2021</v>
      </c>
      <c r="H3" s="189" t="s">
        <v>343</v>
      </c>
      <c r="I3" s="188">
        <v>2020</v>
      </c>
      <c r="J3" s="188">
        <v>2021</v>
      </c>
      <c r="K3" s="189" t="s">
        <v>343</v>
      </c>
      <c r="L3" s="17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</row>
    <row r="4" spans="1:1025" x14ac:dyDescent="0.2">
      <c r="A4" s="244" t="s">
        <v>27</v>
      </c>
      <c r="B4" s="106" t="s">
        <v>52</v>
      </c>
      <c r="C4" s="107">
        <f>SUM(C5:C9)</f>
        <v>407122359.86999995</v>
      </c>
      <c r="D4" s="107">
        <f>SUM(D5:D9)</f>
        <v>401049566.76999998</v>
      </c>
      <c r="E4" s="108">
        <f t="shared" ref="E4:E10" si="0">(D4-C4)/C4</f>
        <v>-1.491638312849998E-2</v>
      </c>
      <c r="F4" s="107">
        <f>SUM(F5:F9)</f>
        <v>74952542.500000015</v>
      </c>
      <c r="G4" s="107">
        <f>SUM(G5:G9)</f>
        <v>71558642.679999992</v>
      </c>
      <c r="H4" s="108">
        <f t="shared" ref="H4:H10" si="1">(G4-F4)/F4</f>
        <v>-4.5280649685766457E-2</v>
      </c>
      <c r="I4" s="107">
        <f>SUM(I5:I9)</f>
        <v>82280620.609999999</v>
      </c>
      <c r="J4" s="107">
        <f>SUM(J5:J9)</f>
        <v>83998947.030000001</v>
      </c>
      <c r="K4" s="108">
        <f t="shared" ref="K4:K10" si="2">(J4-I4)/I4</f>
        <v>2.0883731883169152E-2</v>
      </c>
      <c r="L4" s="18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x14ac:dyDescent="0.2">
      <c r="A5" s="244"/>
      <c r="B5" s="109" t="s">
        <v>321</v>
      </c>
      <c r="C5" s="107">
        <v>14160010</v>
      </c>
      <c r="D5" s="107">
        <v>14455810.300000001</v>
      </c>
      <c r="E5" s="108">
        <f t="shared" si="0"/>
        <v>2.0889836942205604E-2</v>
      </c>
      <c r="F5" s="107">
        <v>1359862.4</v>
      </c>
      <c r="G5" s="107">
        <v>1478389.31</v>
      </c>
      <c r="H5" s="108">
        <f t="shared" si="1"/>
        <v>8.7160958344020809E-2</v>
      </c>
      <c r="I5" s="110">
        <v>3000000</v>
      </c>
      <c r="J5" s="110">
        <v>3000000</v>
      </c>
      <c r="K5" s="108">
        <f t="shared" si="2"/>
        <v>0</v>
      </c>
      <c r="L5" s="18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</row>
    <row r="6" spans="1:1025" x14ac:dyDescent="0.2">
      <c r="A6" s="244"/>
      <c r="B6" s="109" t="s">
        <v>322</v>
      </c>
      <c r="C6" s="107">
        <v>16769570</v>
      </c>
      <c r="D6" s="107">
        <v>17272657.100000001</v>
      </c>
      <c r="E6" s="108">
        <f t="shared" si="0"/>
        <v>3.0000000000000089E-2</v>
      </c>
      <c r="F6" s="107">
        <v>1825674.62</v>
      </c>
      <c r="G6" s="107">
        <v>1833308.79</v>
      </c>
      <c r="H6" s="108">
        <f t="shared" si="1"/>
        <v>4.1815611152002134E-3</v>
      </c>
      <c r="I6" s="110">
        <v>3336790</v>
      </c>
      <c r="J6" s="110">
        <v>3336790</v>
      </c>
      <c r="K6" s="108">
        <f t="shared" si="2"/>
        <v>0</v>
      </c>
      <c r="L6" s="18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 x14ac:dyDescent="0.2">
      <c r="A7" s="244"/>
      <c r="B7" s="109" t="s">
        <v>344</v>
      </c>
      <c r="C7" s="107">
        <v>26370811.579999998</v>
      </c>
      <c r="D7" s="107">
        <v>26192259.879999999</v>
      </c>
      <c r="E7" s="108">
        <f t="shared" si="0"/>
        <v>-6.7708079236899719E-3</v>
      </c>
      <c r="F7" s="107">
        <v>3144798.85</v>
      </c>
      <c r="G7" s="107">
        <v>3125198.85</v>
      </c>
      <c r="H7" s="108">
        <f t="shared" si="1"/>
        <v>-6.2325130906226321E-3</v>
      </c>
      <c r="I7" s="110">
        <v>7462592.4000000004</v>
      </c>
      <c r="J7" s="110">
        <v>6918870</v>
      </c>
      <c r="K7" s="108">
        <f t="shared" si="2"/>
        <v>-7.285972097310317E-2</v>
      </c>
      <c r="L7" s="18"/>
      <c r="M7" s="2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x14ac:dyDescent="0.2">
      <c r="A8" s="244"/>
      <c r="B8" s="109" t="s">
        <v>324</v>
      </c>
      <c r="C8" s="107">
        <v>347167069.89999998</v>
      </c>
      <c r="D8" s="107">
        <v>340716326.74000001</v>
      </c>
      <c r="E8" s="108">
        <f t="shared" si="0"/>
        <v>-1.858109169702667E-2</v>
      </c>
      <c r="F8" s="107">
        <v>68546125.950000003</v>
      </c>
      <c r="G8" s="107">
        <v>65047245.729999997</v>
      </c>
      <c r="H8" s="108">
        <f t="shared" si="1"/>
        <v>-5.1044171665547006E-2</v>
      </c>
      <c r="I8" s="110">
        <v>68481238.209999993</v>
      </c>
      <c r="J8" s="110">
        <v>70743287.030000001</v>
      </c>
      <c r="K8" s="108">
        <f t="shared" si="2"/>
        <v>3.3031657708398318E-2</v>
      </c>
      <c r="L8" s="18"/>
      <c r="M8" s="35" t="s">
        <v>232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</row>
    <row r="9" spans="1:1025" x14ac:dyDescent="0.2">
      <c r="A9" s="244"/>
      <c r="B9" s="109" t="s">
        <v>325</v>
      </c>
      <c r="C9" s="107">
        <v>2654898.39</v>
      </c>
      <c r="D9" s="107">
        <v>2412512.75</v>
      </c>
      <c r="E9" s="108">
        <f t="shared" si="0"/>
        <v>-9.129752042977439E-2</v>
      </c>
      <c r="F9" s="107">
        <v>76080.679999999993</v>
      </c>
      <c r="G9" s="107">
        <v>74500</v>
      </c>
      <c r="H9" s="108">
        <f t="shared" si="1"/>
        <v>-2.0776365300625509E-2</v>
      </c>
      <c r="I9" s="110">
        <v>0</v>
      </c>
      <c r="J9" s="110">
        <v>0</v>
      </c>
      <c r="K9" s="108">
        <v>0</v>
      </c>
      <c r="L9" s="18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x14ac:dyDescent="0.2">
      <c r="A10" s="244"/>
      <c r="B10" s="106" t="s">
        <v>53</v>
      </c>
      <c r="C10" s="107">
        <f>SUM(C11:C14)</f>
        <v>74643225.170100003</v>
      </c>
      <c r="D10" s="107">
        <f>SUM(D11:D14)</f>
        <v>92886781.209999993</v>
      </c>
      <c r="E10" s="108">
        <f t="shared" si="0"/>
        <v>0.24441007202362755</v>
      </c>
      <c r="F10" s="107">
        <f>SUM(F11:F14)</f>
        <v>23506039.629999999</v>
      </c>
      <c r="G10" s="107">
        <f>SUM(G11:G14)</f>
        <v>36305987.289999999</v>
      </c>
      <c r="H10" s="108">
        <f t="shared" si="1"/>
        <v>0.54453867437813053</v>
      </c>
      <c r="I10" s="107">
        <f>SUM(I11:I14)</f>
        <v>7307782.71</v>
      </c>
      <c r="J10" s="107">
        <f>SUM(J11:J14)</f>
        <v>18150000</v>
      </c>
      <c r="K10" s="108">
        <f t="shared" si="2"/>
        <v>1.4836534856412007</v>
      </c>
      <c r="L10" s="18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x14ac:dyDescent="0.2">
      <c r="A11" s="244"/>
      <c r="B11" s="109" t="s">
        <v>326</v>
      </c>
      <c r="C11" s="107">
        <v>0</v>
      </c>
      <c r="D11" s="107">
        <v>0</v>
      </c>
      <c r="E11" s="111">
        <v>0</v>
      </c>
      <c r="F11" s="107">
        <v>0</v>
      </c>
      <c r="G11" s="107">
        <v>0</v>
      </c>
      <c r="H11" s="108">
        <v>0</v>
      </c>
      <c r="I11" s="107">
        <v>0</v>
      </c>
      <c r="J11" s="107">
        <v>0</v>
      </c>
      <c r="K11" s="108">
        <v>0</v>
      </c>
      <c r="L11" s="18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x14ac:dyDescent="0.2">
      <c r="A12" s="244"/>
      <c r="B12" s="109" t="s">
        <v>345</v>
      </c>
      <c r="C12" s="107">
        <v>74412225.170000002</v>
      </c>
      <c r="D12" s="107">
        <v>54657970.590000004</v>
      </c>
      <c r="E12" s="108">
        <f t="shared" ref="E12:E27" si="3">(D12-C12)/C12</f>
        <v>-0.26547055319028567</v>
      </c>
      <c r="F12" s="107">
        <v>21331039.629999999</v>
      </c>
      <c r="G12" s="107">
        <v>23030987.289999999</v>
      </c>
      <c r="H12" s="108">
        <f>(G12-F12)/F12</f>
        <v>7.9693615008299537E-2</v>
      </c>
      <c r="I12" s="107">
        <v>6857782.71</v>
      </c>
      <c r="J12" s="107">
        <v>8200000</v>
      </c>
      <c r="K12" s="108">
        <f t="shared" ref="K12:K27" si="4">(J12-I12)/I12</f>
        <v>0.19572175829408861</v>
      </c>
      <c r="L12" s="18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 x14ac:dyDescent="0.2">
      <c r="A13" s="244"/>
      <c r="B13" s="109" t="s">
        <v>346</v>
      </c>
      <c r="C13" s="107">
        <v>231000</v>
      </c>
      <c r="D13" s="107">
        <v>16490962.789999999</v>
      </c>
      <c r="E13" s="108">
        <f t="shared" si="3"/>
        <v>70.3894493073593</v>
      </c>
      <c r="F13" s="107">
        <v>275000</v>
      </c>
      <c r="G13" s="107">
        <v>275000</v>
      </c>
      <c r="H13" s="108">
        <f>(G13-F13)/F13</f>
        <v>0</v>
      </c>
      <c r="I13" s="107">
        <v>250000</v>
      </c>
      <c r="J13" s="107">
        <v>250000</v>
      </c>
      <c r="K13" s="108">
        <f t="shared" si="4"/>
        <v>0</v>
      </c>
      <c r="L13" s="18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 x14ac:dyDescent="0.2">
      <c r="A14" s="244"/>
      <c r="B14" s="109" t="s">
        <v>347</v>
      </c>
      <c r="C14" s="107">
        <v>1E-4</v>
      </c>
      <c r="D14" s="107">
        <v>21737847.829999998</v>
      </c>
      <c r="E14" s="108">
        <v>1</v>
      </c>
      <c r="F14" s="107">
        <v>1900000</v>
      </c>
      <c r="G14" s="107">
        <v>13000000</v>
      </c>
      <c r="H14" s="108">
        <v>0</v>
      </c>
      <c r="I14" s="107">
        <v>200000</v>
      </c>
      <c r="J14" s="107">
        <v>9700000</v>
      </c>
      <c r="K14" s="108">
        <f t="shared" si="4"/>
        <v>47.5</v>
      </c>
      <c r="L14" s="18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1:1025" s="16" customFormat="1" ht="11.25" x14ac:dyDescent="0.2">
      <c r="A15" s="244"/>
      <c r="B15" s="112" t="s">
        <v>48</v>
      </c>
      <c r="C15" s="113">
        <f>C10+C4</f>
        <v>481765585.04009998</v>
      </c>
      <c r="D15" s="113">
        <f>D10+D4</f>
        <v>493936347.97999996</v>
      </c>
      <c r="E15" s="114">
        <f t="shared" si="3"/>
        <v>2.5262831795855534E-2</v>
      </c>
      <c r="F15" s="113">
        <f>F10+F4</f>
        <v>98458582.13000001</v>
      </c>
      <c r="G15" s="113">
        <f>G10+G4</f>
        <v>107864629.97</v>
      </c>
      <c r="H15" s="114">
        <f t="shared" ref="H15:H27" si="5">(G15-F15)/F15</f>
        <v>9.5533041777716154E-2</v>
      </c>
      <c r="I15" s="113">
        <f>I10+I4</f>
        <v>89588403.319999993</v>
      </c>
      <c r="J15" s="113">
        <f>J10+J4</f>
        <v>102148947.03</v>
      </c>
      <c r="K15" s="114">
        <f t="shared" si="4"/>
        <v>0.14020278567902497</v>
      </c>
      <c r="L15" s="19"/>
    </row>
    <row r="16" spans="1:1025" x14ac:dyDescent="0.2">
      <c r="A16" s="245" t="s">
        <v>29</v>
      </c>
      <c r="B16" s="106" t="s">
        <v>52</v>
      </c>
      <c r="C16" s="107">
        <f>SUM(C17:C21)</f>
        <v>376496504.43000001</v>
      </c>
      <c r="D16" s="107">
        <f>SUM(D17:D21)</f>
        <v>403055308.86000001</v>
      </c>
      <c r="E16" s="108">
        <f t="shared" si="3"/>
        <v>7.0541968165704294E-2</v>
      </c>
      <c r="F16" s="107">
        <f>SUM(F17:F21)</f>
        <v>62471767.399999999</v>
      </c>
      <c r="G16" s="107">
        <f>SUM(G17:G21)</f>
        <v>71194288.99000001</v>
      </c>
      <c r="H16" s="108">
        <f t="shared" si="5"/>
        <v>0.13962341635303263</v>
      </c>
      <c r="I16" s="107">
        <f>SUM(I17:I21)</f>
        <v>76157906.539999992</v>
      </c>
      <c r="J16" s="107">
        <f>SUM(J17:J21)</f>
        <v>88162422.019999996</v>
      </c>
      <c r="K16" s="108">
        <f t="shared" si="4"/>
        <v>0.15762664738814663</v>
      </c>
      <c r="L16" s="18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1:1025" x14ac:dyDescent="0.2">
      <c r="A17" s="245"/>
      <c r="B17" s="109" t="s">
        <v>348</v>
      </c>
      <c r="C17" s="107">
        <v>155318109.44999999</v>
      </c>
      <c r="D17" s="107">
        <v>170439378.41</v>
      </c>
      <c r="E17" s="108">
        <f t="shared" si="3"/>
        <v>9.7356766790081539E-2</v>
      </c>
      <c r="F17" s="107">
        <v>24287284.280000001</v>
      </c>
      <c r="G17" s="107">
        <v>25443296.850000001</v>
      </c>
      <c r="H17" s="108">
        <f t="shared" si="5"/>
        <v>4.7597440564894657E-2</v>
      </c>
      <c r="I17" s="107">
        <v>35143001.869999997</v>
      </c>
      <c r="J17" s="107">
        <v>35680919.549999997</v>
      </c>
      <c r="K17" s="108">
        <f t="shared" si="4"/>
        <v>1.5306537614226855E-2</v>
      </c>
      <c r="L17" s="18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</row>
    <row r="18" spans="1:1025" x14ac:dyDescent="0.2">
      <c r="A18" s="245"/>
      <c r="B18" s="109" t="s">
        <v>349</v>
      </c>
      <c r="C18" s="107">
        <v>168305322.49000001</v>
      </c>
      <c r="D18" s="107">
        <v>185872648.61000001</v>
      </c>
      <c r="E18" s="108">
        <f t="shared" si="3"/>
        <v>0.10437772175056306</v>
      </c>
      <c r="F18" s="107">
        <v>16033889.93</v>
      </c>
      <c r="G18" s="107">
        <v>17490030.350000001</v>
      </c>
      <c r="H18" s="108">
        <f t="shared" si="5"/>
        <v>9.0816416125915234E-2</v>
      </c>
      <c r="I18" s="107">
        <v>23365815.870000001</v>
      </c>
      <c r="J18" s="107">
        <v>27097852.809999999</v>
      </c>
      <c r="K18" s="108">
        <f t="shared" si="4"/>
        <v>0.15972208977267771</v>
      </c>
      <c r="L18" s="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</row>
    <row r="19" spans="1:1025" x14ac:dyDescent="0.2">
      <c r="A19" s="245"/>
      <c r="B19" s="109" t="s">
        <v>350</v>
      </c>
      <c r="C19" s="107">
        <v>1024660.14</v>
      </c>
      <c r="D19" s="107">
        <v>903900</v>
      </c>
      <c r="E19" s="108">
        <f t="shared" si="3"/>
        <v>-0.11785384761819662</v>
      </c>
      <c r="F19" s="107">
        <v>154209.98000000001</v>
      </c>
      <c r="G19" s="107">
        <v>210311.87</v>
      </c>
      <c r="H19" s="108">
        <f t="shared" si="5"/>
        <v>0.36380194070448607</v>
      </c>
      <c r="I19" s="107">
        <v>32000</v>
      </c>
      <c r="J19" s="107">
        <v>132000</v>
      </c>
      <c r="K19" s="108">
        <f t="shared" si="4"/>
        <v>3.125</v>
      </c>
      <c r="L19" s="18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</row>
    <row r="20" spans="1:1025" x14ac:dyDescent="0.2">
      <c r="A20" s="245"/>
      <c r="B20" s="109" t="s">
        <v>324</v>
      </c>
      <c r="C20" s="107">
        <v>49848412.350000001</v>
      </c>
      <c r="D20" s="107">
        <v>45838381.840000004</v>
      </c>
      <c r="E20" s="108">
        <f t="shared" si="3"/>
        <v>-8.044449804829136E-2</v>
      </c>
      <c r="F20" s="107">
        <v>21656383.210000001</v>
      </c>
      <c r="G20" s="107">
        <v>25850649.920000002</v>
      </c>
      <c r="H20" s="108">
        <f t="shared" si="5"/>
        <v>0.19367346196862947</v>
      </c>
      <c r="I20" s="107">
        <v>16633515.880000001</v>
      </c>
      <c r="J20" s="107">
        <v>24746649.66</v>
      </c>
      <c r="K20" s="108">
        <f t="shared" si="4"/>
        <v>0.48775820088374477</v>
      </c>
      <c r="L20" s="18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</row>
    <row r="21" spans="1:1025" x14ac:dyDescent="0.2">
      <c r="A21" s="245"/>
      <c r="B21" s="109" t="s">
        <v>351</v>
      </c>
      <c r="C21" s="107">
        <v>2000000</v>
      </c>
      <c r="D21" s="107">
        <v>1000</v>
      </c>
      <c r="E21" s="108">
        <f t="shared" si="3"/>
        <v>-0.99950000000000006</v>
      </c>
      <c r="F21" s="107">
        <v>340000</v>
      </c>
      <c r="G21" s="107">
        <v>2200000</v>
      </c>
      <c r="H21" s="108">
        <f t="shared" si="5"/>
        <v>5.4705882352941178</v>
      </c>
      <c r="I21" s="107">
        <v>983572.92</v>
      </c>
      <c r="J21" s="107">
        <v>505000</v>
      </c>
      <c r="K21" s="108">
        <f t="shared" si="4"/>
        <v>-0.48656577490970371</v>
      </c>
      <c r="L21" s="18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</row>
    <row r="22" spans="1:1025" x14ac:dyDescent="0.2">
      <c r="A22" s="245"/>
      <c r="B22" s="106" t="s">
        <v>53</v>
      </c>
      <c r="C22" s="107">
        <f>SUM(C23:C26)</f>
        <v>105269080.61</v>
      </c>
      <c r="D22" s="107">
        <f>SUM(D23:D26)</f>
        <v>90881039.120000005</v>
      </c>
      <c r="E22" s="108">
        <f t="shared" si="3"/>
        <v>-0.13667870381906999</v>
      </c>
      <c r="F22" s="107">
        <f>SUM(F23:F26)</f>
        <v>35986814.730000004</v>
      </c>
      <c r="G22" s="107">
        <f>SUM(G23:G26)</f>
        <v>36670340.980000004</v>
      </c>
      <c r="H22" s="108">
        <f t="shared" si="5"/>
        <v>1.899379689834527E-2</v>
      </c>
      <c r="I22" s="107">
        <f>SUM(I23:I26)</f>
        <v>13430496.780000001</v>
      </c>
      <c r="J22" s="107">
        <f>SUM(J23:J26)</f>
        <v>13986525.01</v>
      </c>
      <c r="K22" s="108">
        <f t="shared" si="4"/>
        <v>4.1400421675243389E-2</v>
      </c>
      <c r="L22" s="1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</row>
    <row r="23" spans="1:1025" x14ac:dyDescent="0.2">
      <c r="A23" s="245"/>
      <c r="B23" s="109" t="s">
        <v>337</v>
      </c>
      <c r="C23" s="107">
        <v>80530425.329999998</v>
      </c>
      <c r="D23" s="107">
        <v>59620985.93</v>
      </c>
      <c r="E23" s="108">
        <f t="shared" si="3"/>
        <v>-0.25964645429744931</v>
      </c>
      <c r="F23" s="107">
        <v>22816074.039999999</v>
      </c>
      <c r="G23" s="107">
        <v>23303254.41</v>
      </c>
      <c r="H23" s="108">
        <f t="shared" si="5"/>
        <v>2.1352506533152935E-2</v>
      </c>
      <c r="I23" s="107">
        <v>5194301.16</v>
      </c>
      <c r="J23" s="107">
        <v>5917393.1399999997</v>
      </c>
      <c r="K23" s="108">
        <f t="shared" si="4"/>
        <v>0.13920871311204441</v>
      </c>
      <c r="L23" s="18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</row>
    <row r="24" spans="1:1025" x14ac:dyDescent="0.2">
      <c r="A24" s="245"/>
      <c r="B24" s="109" t="s">
        <v>327</v>
      </c>
      <c r="C24" s="107">
        <v>23457655.280000001</v>
      </c>
      <c r="D24" s="107">
        <v>30529053.190000001</v>
      </c>
      <c r="E24" s="108">
        <f t="shared" si="3"/>
        <v>0.30145373975331091</v>
      </c>
      <c r="F24" s="107">
        <v>9689742.3499999996</v>
      </c>
      <c r="G24" s="107">
        <v>12789088.720000001</v>
      </c>
      <c r="H24" s="108">
        <f t="shared" si="5"/>
        <v>0.3198584913870286</v>
      </c>
      <c r="I24" s="107">
        <v>7786195.6200000001</v>
      </c>
      <c r="J24" s="107">
        <v>7619131.8700000001</v>
      </c>
      <c r="K24" s="108">
        <f t="shared" si="4"/>
        <v>-2.1456402863918797E-2</v>
      </c>
      <c r="L24" s="1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</row>
    <row r="25" spans="1:1025" x14ac:dyDescent="0.2">
      <c r="A25" s="245"/>
      <c r="B25" s="109" t="s">
        <v>346</v>
      </c>
      <c r="C25" s="107">
        <v>231000</v>
      </c>
      <c r="D25" s="107">
        <v>731000</v>
      </c>
      <c r="E25" s="108">
        <f t="shared" si="3"/>
        <v>2.1645021645021645</v>
      </c>
      <c r="F25" s="107">
        <v>275000</v>
      </c>
      <c r="G25" s="107">
        <v>276000</v>
      </c>
      <c r="H25" s="108">
        <f t="shared" si="5"/>
        <v>3.6363636363636364E-3</v>
      </c>
      <c r="I25" s="107">
        <v>250000</v>
      </c>
      <c r="J25" s="107">
        <v>250000</v>
      </c>
      <c r="K25" s="108">
        <f t="shared" si="4"/>
        <v>0</v>
      </c>
      <c r="L25" s="1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</row>
    <row r="26" spans="1:1025" x14ac:dyDescent="0.2">
      <c r="A26" s="245"/>
      <c r="B26" s="109" t="s">
        <v>347</v>
      </c>
      <c r="C26" s="107">
        <v>1050000</v>
      </c>
      <c r="D26" s="107">
        <v>0</v>
      </c>
      <c r="E26" s="108">
        <f t="shared" si="3"/>
        <v>-1</v>
      </c>
      <c r="F26" s="107">
        <v>3205998.34</v>
      </c>
      <c r="G26" s="107">
        <v>301997.84999999998</v>
      </c>
      <c r="H26" s="108">
        <f t="shared" si="5"/>
        <v>-0.90580224380278374</v>
      </c>
      <c r="I26" s="107">
        <v>200000</v>
      </c>
      <c r="J26" s="107">
        <v>200000</v>
      </c>
      <c r="K26" s="108">
        <f t="shared" si="4"/>
        <v>0</v>
      </c>
      <c r="L26" s="20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</row>
    <row r="27" spans="1:1025" s="16" customFormat="1" ht="11.25" x14ac:dyDescent="0.2">
      <c r="A27" s="245"/>
      <c r="B27" s="112" t="s">
        <v>48</v>
      </c>
      <c r="C27" s="113">
        <f>C22+C16</f>
        <v>481765585.04000002</v>
      </c>
      <c r="D27" s="113">
        <f>D22+D16</f>
        <v>493936347.98000002</v>
      </c>
      <c r="E27" s="114">
        <f t="shared" si="3"/>
        <v>2.5262831796068381E-2</v>
      </c>
      <c r="F27" s="113">
        <f>F22+F16</f>
        <v>98458582.129999995</v>
      </c>
      <c r="G27" s="113">
        <f>G22+G16</f>
        <v>107864629.97000001</v>
      </c>
      <c r="H27" s="114">
        <f t="shared" si="5"/>
        <v>9.5533041777716474E-2</v>
      </c>
      <c r="I27" s="113">
        <f>I22+I16</f>
        <v>89588403.319999993</v>
      </c>
      <c r="J27" s="113">
        <f>J22+J16</f>
        <v>102148947.03</v>
      </c>
      <c r="K27" s="114">
        <f t="shared" si="4"/>
        <v>0.14020278567902497</v>
      </c>
      <c r="L27" s="19"/>
    </row>
    <row r="28" spans="1:1025" s="22" customFormat="1" ht="11.25" x14ac:dyDescent="0.2">
      <c r="A28" s="236" t="s">
        <v>54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1"/>
    </row>
    <row r="29" spans="1:1025" x14ac:dyDescent="0.2">
      <c r="D29"/>
      <c r="E29"/>
      <c r="F29" s="33" t="s">
        <v>232</v>
      </c>
      <c r="G29"/>
      <c r="H29"/>
      <c r="I29"/>
      <c r="J29" s="5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</row>
    <row r="30" spans="1:1025" x14ac:dyDescent="0.2">
      <c r="D30" s="23"/>
      <c r="E30"/>
      <c r="F30"/>
      <c r="G30"/>
      <c r="H30"/>
      <c r="I30"/>
      <c r="J30" s="5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</row>
    <row r="31" spans="1:1025" x14ac:dyDescent="0.2">
      <c r="C31" s="1" t="s">
        <v>232</v>
      </c>
      <c r="D31" s="23"/>
      <c r="E31"/>
      <c r="F31"/>
      <c r="G31" s="23"/>
      <c r="H31"/>
      <c r="I31"/>
      <c r="J31" s="3"/>
    </row>
    <row r="32" spans="1:1025" x14ac:dyDescent="0.2">
      <c r="D32" s="3"/>
      <c r="E32" s="3"/>
      <c r="F32" s="3"/>
      <c r="G32" s="3"/>
      <c r="H32" s="3"/>
      <c r="I32" s="3"/>
      <c r="J32" s="3"/>
    </row>
  </sheetData>
  <mergeCells count="8">
    <mergeCell ref="A4:A15"/>
    <mergeCell ref="A16:A27"/>
    <mergeCell ref="A28:K28"/>
    <mergeCell ref="A1:K1"/>
    <mergeCell ref="A2:B3"/>
    <mergeCell ref="C2:E2"/>
    <mergeCell ref="F2:H2"/>
    <mergeCell ref="I2:K2"/>
  </mergeCells>
  <pageMargins left="0.39374999999999999" right="0.15763888888888899" top="0.39374999999999999" bottom="0.39374999999999999" header="0.51180555555555496" footer="0.51180555555555496"/>
  <pageSetup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MK30"/>
  <sheetViews>
    <sheetView zoomScaleNormal="100" workbookViewId="0">
      <selection activeCell="A3" sqref="A3:A26"/>
    </sheetView>
  </sheetViews>
  <sheetFormatPr baseColWidth="10" defaultColWidth="9.140625" defaultRowHeight="12.75" x14ac:dyDescent="0.2"/>
  <cols>
    <col min="1" max="1" width="11" style="27"/>
    <col min="2" max="2" width="24.85546875" style="27"/>
    <col min="3" max="5" width="13.28515625" style="27"/>
    <col min="6" max="6" width="14.85546875" style="27" customWidth="1"/>
    <col min="7" max="1025" width="11" style="27"/>
  </cols>
  <sheetData>
    <row r="1" spans="1:1025" x14ac:dyDescent="0.2">
      <c r="A1" s="246" t="s">
        <v>312</v>
      </c>
      <c r="B1" s="246"/>
      <c r="C1" s="246"/>
      <c r="D1" s="246"/>
      <c r="E1" s="246"/>
      <c r="F1" s="246"/>
    </row>
    <row r="2" spans="1:1025" x14ac:dyDescent="0.2">
      <c r="A2" s="250"/>
      <c r="B2" s="251"/>
      <c r="C2" s="188">
        <v>2020</v>
      </c>
      <c r="D2" s="188">
        <v>2021</v>
      </c>
      <c r="E2" s="188" t="s">
        <v>1</v>
      </c>
      <c r="F2" s="189" t="s">
        <v>352</v>
      </c>
      <c r="AMJ2"/>
      <c r="AMK2"/>
    </row>
    <row r="3" spans="1:1025" x14ac:dyDescent="0.2">
      <c r="A3" s="249" t="s">
        <v>27</v>
      </c>
      <c r="B3" s="106" t="s">
        <v>52</v>
      </c>
      <c r="C3" s="115">
        <v>564355522.9799999</v>
      </c>
      <c r="D3" s="115">
        <v>556607156.48000002</v>
      </c>
      <c r="E3" s="115">
        <f>D3-C3</f>
        <v>-7748366.4999998808</v>
      </c>
      <c r="F3" s="116">
        <f>E3/C3</f>
        <v>-1.3729583896132923E-2</v>
      </c>
      <c r="AMJ3"/>
      <c r="AMK3"/>
    </row>
    <row r="4" spans="1:1025" x14ac:dyDescent="0.2">
      <c r="A4" s="249"/>
      <c r="B4" s="109" t="s">
        <v>321</v>
      </c>
      <c r="C4" s="115">
        <v>18519872.399999999</v>
      </c>
      <c r="D4" s="115">
        <v>18934199.609999999</v>
      </c>
      <c r="E4" s="115">
        <f t="shared" ref="E4:E26" si="0">D4-C4</f>
        <v>414327.21000000089</v>
      </c>
      <c r="F4" s="116">
        <f t="shared" ref="F4:F26" si="1">E4/C4</f>
        <v>2.2372033729562896E-2</v>
      </c>
      <c r="AMJ4"/>
      <c r="AMK4"/>
    </row>
    <row r="5" spans="1:1025" x14ac:dyDescent="0.2">
      <c r="A5" s="249"/>
      <c r="B5" s="109" t="s">
        <v>322</v>
      </c>
      <c r="C5" s="115">
        <v>21932034.620000001</v>
      </c>
      <c r="D5" s="115">
        <v>22442755.890000001</v>
      </c>
      <c r="E5" s="115">
        <f t="shared" si="0"/>
        <v>510721.26999999955</v>
      </c>
      <c r="F5" s="116">
        <f t="shared" si="1"/>
        <v>2.3286543125108361E-2</v>
      </c>
      <c r="AMJ5"/>
      <c r="AMK5"/>
    </row>
    <row r="6" spans="1:1025" x14ac:dyDescent="0.2">
      <c r="A6" s="249"/>
      <c r="B6" s="109" t="s">
        <v>344</v>
      </c>
      <c r="C6" s="115">
        <v>36978202.829999998</v>
      </c>
      <c r="D6" s="115">
        <v>36236328.730000004</v>
      </c>
      <c r="E6" s="115">
        <f t="shared" si="0"/>
        <v>-741874.09999999404</v>
      </c>
      <c r="F6" s="116">
        <f t="shared" si="1"/>
        <v>-2.0062470407515857E-2</v>
      </c>
      <c r="AMJ6"/>
      <c r="AMK6"/>
    </row>
    <row r="7" spans="1:1025" x14ac:dyDescent="0.2">
      <c r="A7" s="249"/>
      <c r="B7" s="109" t="s">
        <v>324</v>
      </c>
      <c r="C7" s="115">
        <v>484194434.05999994</v>
      </c>
      <c r="D7" s="115">
        <v>476506859.5</v>
      </c>
      <c r="E7" s="115">
        <f t="shared" si="0"/>
        <v>-7687574.5599999428</v>
      </c>
      <c r="F7" s="116">
        <f t="shared" si="1"/>
        <v>-1.5877040335922823E-2</v>
      </c>
      <c r="AMJ7"/>
      <c r="AMK7"/>
    </row>
    <row r="8" spans="1:1025" x14ac:dyDescent="0.2">
      <c r="A8" s="249"/>
      <c r="B8" s="109" t="s">
        <v>325</v>
      </c>
      <c r="C8" s="115">
        <v>2730979.0700000003</v>
      </c>
      <c r="D8" s="115">
        <v>2487012.75</v>
      </c>
      <c r="E8" s="115">
        <f t="shared" si="0"/>
        <v>-243966.3200000003</v>
      </c>
      <c r="F8" s="116">
        <f t="shared" si="1"/>
        <v>-8.9332914587294976E-2</v>
      </c>
      <c r="AMJ8"/>
      <c r="AMK8"/>
    </row>
    <row r="9" spans="1:1025" x14ac:dyDescent="0.2">
      <c r="A9" s="249"/>
      <c r="B9" s="106" t="s">
        <v>53</v>
      </c>
      <c r="C9" s="115">
        <v>105457047.51009999</v>
      </c>
      <c r="D9" s="115">
        <v>147342768.5</v>
      </c>
      <c r="E9" s="115">
        <f t="shared" si="0"/>
        <v>41885720.989900008</v>
      </c>
      <c r="F9" s="116">
        <f t="shared" si="1"/>
        <v>0.39718275808820142</v>
      </c>
      <c r="AMJ9"/>
      <c r="AMK9"/>
    </row>
    <row r="10" spans="1:1025" x14ac:dyDescent="0.2">
      <c r="A10" s="249"/>
      <c r="B10" s="109" t="s">
        <v>326</v>
      </c>
      <c r="C10" s="115">
        <v>0</v>
      </c>
      <c r="D10" s="115">
        <v>0</v>
      </c>
      <c r="E10" s="115">
        <f t="shared" si="0"/>
        <v>0</v>
      </c>
      <c r="F10" s="116">
        <v>0</v>
      </c>
      <c r="AMJ10"/>
      <c r="AMK10"/>
    </row>
    <row r="11" spans="1:1025" x14ac:dyDescent="0.2">
      <c r="A11" s="249"/>
      <c r="B11" s="109" t="s">
        <v>327</v>
      </c>
      <c r="C11" s="115">
        <v>102601047.50999999</v>
      </c>
      <c r="D11" s="115">
        <v>85888957.879999995</v>
      </c>
      <c r="E11" s="115">
        <f t="shared" si="0"/>
        <v>-16712089.629999995</v>
      </c>
      <c r="F11" s="116">
        <f t="shared" si="1"/>
        <v>-0.16288420084961758</v>
      </c>
      <c r="AMJ11"/>
      <c r="AMK11"/>
    </row>
    <row r="12" spans="1:1025" x14ac:dyDescent="0.2">
      <c r="A12" s="249"/>
      <c r="B12" s="109" t="s">
        <v>346</v>
      </c>
      <c r="C12" s="115">
        <v>756000</v>
      </c>
      <c r="D12" s="115">
        <v>17015962.789999999</v>
      </c>
      <c r="E12" s="115">
        <f t="shared" si="0"/>
        <v>16259962.789999999</v>
      </c>
      <c r="F12" s="116">
        <f t="shared" si="1"/>
        <v>21.507887288359786</v>
      </c>
      <c r="AMJ12"/>
      <c r="AMK12"/>
    </row>
    <row r="13" spans="1:1025" x14ac:dyDescent="0.2">
      <c r="A13" s="249"/>
      <c r="B13" s="109" t="s">
        <v>347</v>
      </c>
      <c r="C13" s="115">
        <v>2100000.0000999998</v>
      </c>
      <c r="D13" s="115">
        <v>44437847.829999998</v>
      </c>
      <c r="E13" s="115">
        <f t="shared" si="0"/>
        <v>42337847.829899997</v>
      </c>
      <c r="F13" s="116">
        <f t="shared" si="1"/>
        <v>20.160879918039956</v>
      </c>
      <c r="AMJ13"/>
      <c r="AMK13"/>
    </row>
    <row r="14" spans="1:1025" x14ac:dyDescent="0.2">
      <c r="A14" s="249"/>
      <c r="B14" s="112" t="s">
        <v>28</v>
      </c>
      <c r="C14" s="113">
        <v>669812570.49009991</v>
      </c>
      <c r="D14" s="113">
        <v>703949924.9799999</v>
      </c>
      <c r="E14" s="113">
        <f t="shared" si="0"/>
        <v>34137354.489899993</v>
      </c>
      <c r="F14" s="114">
        <f t="shared" si="1"/>
        <v>5.0965532738392459E-2</v>
      </c>
      <c r="AMJ14"/>
      <c r="AMK14"/>
    </row>
    <row r="15" spans="1:1025" x14ac:dyDescent="0.2">
      <c r="A15" s="249" t="s">
        <v>29</v>
      </c>
      <c r="B15" s="106" t="s">
        <v>52</v>
      </c>
      <c r="C15" s="115">
        <v>515126178.37</v>
      </c>
      <c r="D15" s="115">
        <v>562412019.87</v>
      </c>
      <c r="E15" s="115">
        <f t="shared" si="0"/>
        <v>47285841.5</v>
      </c>
      <c r="F15" s="116">
        <f t="shared" si="1"/>
        <v>9.1794677664461408E-2</v>
      </c>
      <c r="AMJ15"/>
      <c r="AMK15"/>
    </row>
    <row r="16" spans="1:1025" x14ac:dyDescent="0.2">
      <c r="A16" s="249"/>
      <c r="B16" s="109" t="s">
        <v>348</v>
      </c>
      <c r="C16" s="115">
        <v>214748395.59999999</v>
      </c>
      <c r="D16" s="115">
        <v>231563594.81</v>
      </c>
      <c r="E16" s="115">
        <f t="shared" si="0"/>
        <v>16815199.210000008</v>
      </c>
      <c r="F16" s="116">
        <f t="shared" si="1"/>
        <v>7.8301861874305934E-2</v>
      </c>
      <c r="AMJ16"/>
      <c r="AMK16"/>
    </row>
    <row r="17" spans="1:1025" x14ac:dyDescent="0.2">
      <c r="A17" s="249"/>
      <c r="B17" s="109" t="s">
        <v>349</v>
      </c>
      <c r="C17" s="115">
        <v>207705028.29000002</v>
      </c>
      <c r="D17" s="115">
        <v>230460531.77000001</v>
      </c>
      <c r="E17" s="115">
        <f t="shared" si="0"/>
        <v>22755503.479999989</v>
      </c>
      <c r="F17" s="116">
        <f t="shared" si="1"/>
        <v>0.10955682521189862</v>
      </c>
      <c r="AMJ17"/>
      <c r="AMK17"/>
    </row>
    <row r="18" spans="1:1025" x14ac:dyDescent="0.2">
      <c r="A18" s="249"/>
      <c r="B18" s="109" t="s">
        <v>350</v>
      </c>
      <c r="C18" s="115">
        <v>1210870.1200000001</v>
      </c>
      <c r="D18" s="115">
        <v>1246211.8700000001</v>
      </c>
      <c r="E18" s="115">
        <f t="shared" si="0"/>
        <v>35341.75</v>
      </c>
      <c r="F18" s="116">
        <f t="shared" si="1"/>
        <v>2.9187069212674929E-2</v>
      </c>
      <c r="AMJ18"/>
      <c r="AMK18"/>
    </row>
    <row r="19" spans="1:1025" x14ac:dyDescent="0.2">
      <c r="A19" s="249"/>
      <c r="B19" s="109" t="s">
        <v>324</v>
      </c>
      <c r="C19" s="115">
        <v>88138311.439999998</v>
      </c>
      <c r="D19" s="115">
        <v>96435681.420000002</v>
      </c>
      <c r="E19" s="115">
        <f t="shared" si="0"/>
        <v>8297369.9800000042</v>
      </c>
      <c r="F19" s="116">
        <f t="shared" si="1"/>
        <v>9.4140332897668738E-2</v>
      </c>
      <c r="AMJ19"/>
      <c r="AMK19"/>
    </row>
    <row r="20" spans="1:1025" x14ac:dyDescent="0.2">
      <c r="A20" s="249"/>
      <c r="B20" s="109" t="s">
        <v>351</v>
      </c>
      <c r="C20" s="115">
        <v>3323572.92</v>
      </c>
      <c r="D20" s="115">
        <v>2706000</v>
      </c>
      <c r="E20" s="115">
        <f t="shared" si="0"/>
        <v>-617572.91999999993</v>
      </c>
      <c r="F20" s="116">
        <f t="shared" si="1"/>
        <v>-0.18581596819605808</v>
      </c>
      <c r="AMJ20"/>
      <c r="AMK20"/>
    </row>
    <row r="21" spans="1:1025" x14ac:dyDescent="0.2">
      <c r="A21" s="249"/>
      <c r="B21" s="106" t="s">
        <v>53</v>
      </c>
      <c r="C21" s="115">
        <v>154686392.12</v>
      </c>
      <c r="D21" s="115">
        <v>141537905.11000001</v>
      </c>
      <c r="E21" s="115">
        <f t="shared" si="0"/>
        <v>-13148487.00999999</v>
      </c>
      <c r="F21" s="116">
        <f t="shared" si="1"/>
        <v>-8.500092884576349E-2</v>
      </c>
      <c r="AMJ21"/>
      <c r="AMK21"/>
    </row>
    <row r="22" spans="1:1025" x14ac:dyDescent="0.2">
      <c r="A22" s="249"/>
      <c r="B22" s="109" t="s">
        <v>337</v>
      </c>
      <c r="C22" s="115">
        <v>108540800.53</v>
      </c>
      <c r="D22" s="115">
        <v>88841633.480000004</v>
      </c>
      <c r="E22" s="115">
        <f t="shared" si="0"/>
        <v>-19699167.049999997</v>
      </c>
      <c r="F22" s="116">
        <f t="shared" si="1"/>
        <v>-0.18149089516393671</v>
      </c>
      <c r="AMJ22"/>
      <c r="AMK22"/>
    </row>
    <row r="23" spans="1:1025" x14ac:dyDescent="0.2">
      <c r="A23" s="249"/>
      <c r="B23" s="109" t="s">
        <v>327</v>
      </c>
      <c r="C23" s="115">
        <v>40933593.25</v>
      </c>
      <c r="D23" s="115">
        <v>50937273.780000001</v>
      </c>
      <c r="E23" s="115">
        <f t="shared" si="0"/>
        <v>10003680.530000001</v>
      </c>
      <c r="F23" s="116">
        <f t="shared" si="1"/>
        <v>0.2443880376907786</v>
      </c>
      <c r="AMJ23"/>
      <c r="AMK23"/>
    </row>
    <row r="24" spans="1:1025" x14ac:dyDescent="0.2">
      <c r="A24" s="249"/>
      <c r="B24" s="109" t="s">
        <v>346</v>
      </c>
      <c r="C24" s="115">
        <v>756000</v>
      </c>
      <c r="D24" s="115">
        <v>1257000</v>
      </c>
      <c r="E24" s="115">
        <f t="shared" si="0"/>
        <v>501000</v>
      </c>
      <c r="F24" s="116">
        <f t="shared" si="1"/>
        <v>0.66269841269841268</v>
      </c>
      <c r="AMJ24"/>
      <c r="AMK24"/>
    </row>
    <row r="25" spans="1:1025" x14ac:dyDescent="0.2">
      <c r="A25" s="249"/>
      <c r="B25" s="109" t="s">
        <v>347</v>
      </c>
      <c r="C25" s="115">
        <v>4455998.34</v>
      </c>
      <c r="D25" s="115">
        <v>501997.85</v>
      </c>
      <c r="E25" s="115">
        <f t="shared" si="0"/>
        <v>-3954000.4899999998</v>
      </c>
      <c r="F25" s="116">
        <f t="shared" si="1"/>
        <v>-0.88734334896543066</v>
      </c>
      <c r="AMJ25"/>
      <c r="AMK25"/>
    </row>
    <row r="26" spans="1:1025" x14ac:dyDescent="0.2">
      <c r="A26" s="249"/>
      <c r="B26" s="112" t="s">
        <v>30</v>
      </c>
      <c r="C26" s="113">
        <v>669812570.49000001</v>
      </c>
      <c r="D26" s="113">
        <v>703949924.98000002</v>
      </c>
      <c r="E26" s="113">
        <f t="shared" si="0"/>
        <v>34137354.49000001</v>
      </c>
      <c r="F26" s="114">
        <f t="shared" si="1"/>
        <v>5.0965532738549382E-2</v>
      </c>
      <c r="AMJ26"/>
      <c r="AMK26"/>
    </row>
    <row r="27" spans="1:1025" x14ac:dyDescent="0.2">
      <c r="A27" s="236" t="s">
        <v>228</v>
      </c>
      <c r="B27" s="236"/>
      <c r="C27" s="236"/>
      <c r="D27" s="236"/>
      <c r="E27" s="236"/>
      <c r="F27" s="236"/>
      <c r="AMJ27"/>
      <c r="AMK27"/>
    </row>
    <row r="28" spans="1:1025" x14ac:dyDescent="0.2">
      <c r="C28"/>
      <c r="D28"/>
      <c r="AMJ28"/>
      <c r="AMK28"/>
    </row>
    <row r="29" spans="1:1025" x14ac:dyDescent="0.2">
      <c r="C29"/>
      <c r="D29"/>
      <c r="AMJ29"/>
      <c r="AMK29"/>
    </row>
    <row r="30" spans="1:1025" x14ac:dyDescent="0.2">
      <c r="AMJ30"/>
      <c r="AMK30"/>
    </row>
  </sheetData>
  <mergeCells count="5">
    <mergeCell ref="A1:F1"/>
    <mergeCell ref="A3:A14"/>
    <mergeCell ref="A15:A26"/>
    <mergeCell ref="A27:F27"/>
    <mergeCell ref="A2:B2"/>
  </mergeCells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</vt:i4>
      </vt:variant>
    </vt:vector>
  </HeadingPairs>
  <TitlesOfParts>
    <vt:vector size="27" baseType="lpstr">
      <vt:lpstr>Índex de quadres y gràfics</vt:lpstr>
      <vt:lpstr>Q1</vt:lpstr>
      <vt:lpstr>G1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G2</vt:lpstr>
      <vt:lpstr>Q18</vt:lpstr>
      <vt:lpstr>G3</vt:lpstr>
      <vt:lpstr>Q19</vt:lpstr>
      <vt:lpstr>Q20</vt:lpstr>
      <vt:lpstr>QA1</vt:lpstr>
      <vt:lpstr>'Q13'!Área_de_impresión</vt:lpstr>
      <vt:lpstr>'Q6'!Área_de_impresión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u82016</dc:creator>
  <cp:lastModifiedBy>Fernando Ruiz Fernández</cp:lastModifiedBy>
  <cp:revision>0</cp:revision>
  <cp:lastPrinted>2020-07-22T08:11:00Z</cp:lastPrinted>
  <dcterms:created xsi:type="dcterms:W3CDTF">2003-06-17T07:20:40Z</dcterms:created>
  <dcterms:modified xsi:type="dcterms:W3CDTF">2022-09-30T08:29:13Z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