
<file path=[Content_Types].xml><?xml version="1.0" encoding="utf-8"?>
<Types xmlns="http://schemas.openxmlformats.org/package/2006/content-types">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styles.xml" ContentType="application/vnd.openxmlformats-officedocument.spreadsheetml.styles+xml"/>
  <Override PartName="/xl/worksheets/sheet9.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9.xml.rels" ContentType="application/vnd.openxmlformats-package.relationships+xml"/>
  <Override PartName="/xl/worksheets/_rels/sheet1.xml.rels" ContentType="application/vnd.openxmlformats-package.relationships+xml"/>
  <Override PartName="/xl/worksheets/_rels/sheet11.xml.rels" ContentType="application/vnd.openxmlformats-package.relationships+xml"/>
  <Override PartName="/xl/worksheets/_rels/sheet3.xml.rels" ContentType="application/vnd.openxmlformats-package.relationships+xml"/>
  <Override PartName="/xl/worksheets/_rels/sheet12.xml.rels" ContentType="application/vnd.openxmlformats-package.relationships+xml"/>
  <Override PartName="/xl/worksheets/_rels/sheet4.xml.rels" ContentType="application/vnd.openxmlformats-package.relationships+xml"/>
  <Override PartName="/xl/worksheets/_rels/sheet6.xml.rels" ContentType="application/vnd.openxmlformats-package.relationships+xml"/>
  <Override PartName="/xl/worksheets/_rels/sheet20.xml.rels" ContentType="application/vnd.openxmlformats-package.relationships+xml"/>
  <Override PartName="/xl/worksheets/_rels/sheet7.xml.rels" ContentType="application/vnd.openxmlformats-package.relationships+xml"/>
  <Override PartName="/xl/worksheets/_rels/sheet21.xml.rels" ContentType="application/vnd.openxmlformats-package.relationships+xml"/>
  <Override PartName="/xl/worksheets/_rels/sheet8.xml.rels" ContentType="application/vnd.openxmlformats-package.relationships+xml"/>
  <Override PartName="/xl/worksheets/_rels/sheet15.xml.rels" ContentType="application/vnd.openxmlformats-package.relationships+xml"/>
  <Override PartName="/xl/worksheets/_rels/sheet16.xml.rels" ContentType="application/vnd.openxmlformats-package.relationships+xml"/>
  <Override PartName="/xl/worksheets/_rels/sheet17.xml.rels" ContentType="application/vnd.openxmlformats-package.relationships+xml"/>
  <Override PartName="/xl/worksheets/_rels/sheet18.xml.rels" ContentType="application/vnd.openxmlformats-package.relationships+xml"/>
  <Override PartName="/xl/worksheets/_rels/sheet23.xml.rels" ContentType="application/vnd.openxmlformats-package.relationships+xml"/>
  <Override PartName="/xl/worksheets/_rels/sheet27.xml.rels" ContentType="application/vnd.openxmlformats-package.relationships+xml"/>
  <Override PartName="/xl/worksheets/_rels/sheet28.xml.rels" ContentType="application/vnd.openxmlformats-package.relationships+xml"/>
  <Override PartName="/xl/worksheets/_rels/sheet29.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comments15.xml" ContentType="application/vnd.openxmlformats-officedocument.spreadsheetml.comments+xml"/>
  <Override PartName="/xl/workbook.xml" ContentType="application/vnd.openxmlformats-officedocument.spreadsheetml.sheet.main+xml"/>
  <Override PartName="/xl/comments3.xml" ContentType="application/vnd.openxmlformats-officedocument.spreadsheetml.comments+xml"/>
  <Override PartName="/xl/sharedStrings.xml" ContentType="application/vnd.openxmlformats-officedocument.spreadsheetml.sharedStrings+xml"/>
  <Override PartName="/xl/comments11.xml" ContentType="application/vnd.openxmlformats-officedocument.spreadsheetml.comments+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_rels/externalLink3.xml.rels" ContentType="application/vnd.openxmlformats-package.relationships+xml"/>
  <Override PartName="/xl/externalLinks/_rels/externalLink4.xml.rels" ContentType="application/vnd.openxmlformats-package.relationships+xml"/>
  <Override PartName="/xl/comments1.xml" ContentType="application/vnd.openxmlformats-officedocument.spreadsheetml.comments+xml"/>
  <Override PartName="/xl/charts/chart119.xml" ContentType="application/vnd.openxmlformats-officedocument.drawingml.chart+xml"/>
  <Override PartName="/xl/charts/chart53.xml" ContentType="application/vnd.openxmlformats-officedocument.drawingml.chart+xml"/>
  <Override PartName="/xl/charts/chart9.xml" ContentType="application/vnd.openxmlformats-officedocument.drawingml.chart+xml"/>
  <Override PartName="/xl/charts/chart1.xml" ContentType="application/vnd.openxmlformats-officedocument.drawingml.chart+xml"/>
  <Override PartName="/xl/charts/chart35.xml" ContentType="application/vnd.openxmlformats-officedocument.drawingml.chart+xml"/>
  <Override PartName="/xl/charts/chart2.xml" ContentType="application/vnd.openxmlformats-officedocument.drawingml.chart+xml"/>
  <Override PartName="/xl/charts/chart36.xml" ContentType="application/vnd.openxmlformats-officedocument.drawingml.chart+xml"/>
  <Override PartName="/xl/charts/chart3.xml" ContentType="application/vnd.openxmlformats-officedocument.drawingml.chart+xml"/>
  <Override PartName="/xl/charts/chart37.xml" ContentType="application/vnd.openxmlformats-officedocument.drawingml.chart+xml"/>
  <Override PartName="/xl/charts/chart4.xml" ContentType="application/vnd.openxmlformats-officedocument.drawingml.chart+xml"/>
  <Override PartName="/xl/charts/chart38.xml" ContentType="application/vnd.openxmlformats-officedocument.drawingml.chart+xml"/>
  <Override PartName="/xl/charts/chart5.xml" ContentType="application/vnd.openxmlformats-officedocument.drawingml.chart+xml"/>
  <Override PartName="/xl/charts/chart39.xml" ContentType="application/vnd.openxmlformats-officedocument.drawingml.chart+xml"/>
  <Override PartName="/xl/charts/chart116.xml" ContentType="application/vnd.openxmlformats-officedocument.drawingml.chart+xml"/>
  <Override PartName="/xl/charts/chart50.xml" ContentType="application/vnd.openxmlformats-officedocument.drawingml.chart+xml"/>
  <Override PartName="/xl/charts/chart6.xml" ContentType="application/vnd.openxmlformats-officedocument.drawingml.chart+xml"/>
  <Override PartName="/xl/charts/chart117.xml" ContentType="application/vnd.openxmlformats-officedocument.drawingml.chart+xml"/>
  <Override PartName="/xl/charts/chart51.xml" ContentType="application/vnd.openxmlformats-officedocument.drawingml.chart+xml"/>
  <Override PartName="/xl/charts/chart7.xml" ContentType="application/vnd.openxmlformats-officedocument.drawingml.chart+xml"/>
  <Override PartName="/xl/charts/chart118.xml" ContentType="application/vnd.openxmlformats-officedocument.drawingml.chart+xml"/>
  <Override PartName="/xl/charts/chart52.xml" ContentType="application/vnd.openxmlformats-officedocument.drawingml.chart+xml"/>
  <Override PartName="/xl/charts/chart8.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106.xml" ContentType="application/vnd.openxmlformats-officedocument.drawingml.chart+xml"/>
  <Override PartName="/xl/charts/chart40.xml" ContentType="application/vnd.openxmlformats-officedocument.drawingml.chart+xml"/>
  <Override PartName="/xl/charts/chart107.xml" ContentType="application/vnd.openxmlformats-officedocument.drawingml.chart+xml"/>
  <Override PartName="/xl/charts/chart41.xml" ContentType="application/vnd.openxmlformats-officedocument.drawingml.chart+xml"/>
  <Override PartName="/xl/charts/chart108.xml" ContentType="application/vnd.openxmlformats-officedocument.drawingml.chart+xml"/>
  <Override PartName="/xl/charts/chart42.xml" ContentType="application/vnd.openxmlformats-officedocument.drawingml.chart+xml"/>
  <Override PartName="/xl/charts/chart109.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126.xml" ContentType="application/vnd.openxmlformats-officedocument.drawingml.chart+xml"/>
  <Override PartName="/xl/charts/chart60.xml" ContentType="application/vnd.openxmlformats-officedocument.drawingml.chart+xml"/>
  <Override PartName="/xl/charts/chart127.xml" ContentType="application/vnd.openxmlformats-officedocument.drawingml.chart+xml"/>
  <Override PartName="/xl/charts/chart61.xml" ContentType="application/vnd.openxmlformats-officedocument.drawingml.chart+xml"/>
  <Override PartName="/xl/charts/chart128.xml" ContentType="application/vnd.openxmlformats-officedocument.drawingml.chart+xml"/>
  <Override PartName="/xl/charts/chart62.xml" ContentType="application/vnd.openxmlformats-officedocument.drawingml.chart+xml"/>
  <Override PartName="/xl/charts/chart129.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136.xml" ContentType="application/vnd.openxmlformats-officedocument.drawingml.chart+xml"/>
  <Override PartName="/xl/charts/chart70.xml" ContentType="application/vnd.openxmlformats-officedocument.drawingml.chart+xml"/>
  <Override PartName="/xl/charts/chart137.xml" ContentType="application/vnd.openxmlformats-officedocument.drawingml.chart+xml"/>
  <Override PartName="/xl/charts/chart71.xml" ContentType="application/vnd.openxmlformats-officedocument.drawingml.chart+xml"/>
  <Override PartName="/xl/charts/chart138.xml" ContentType="application/vnd.openxmlformats-officedocument.drawingml.chart+xml"/>
  <Override PartName="/xl/charts/chart72.xml" ContentType="application/vnd.openxmlformats-officedocument.drawingml.chart+xml"/>
  <Override PartName="/xl/charts/chart139.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146.xml" ContentType="application/vnd.openxmlformats-officedocument.drawingml.chart+xml"/>
  <Override PartName="/xl/charts/chart80.xml" ContentType="application/vnd.openxmlformats-officedocument.drawingml.chart+xml"/>
  <Override PartName="/xl/charts/chart147.xml" ContentType="application/vnd.openxmlformats-officedocument.drawingml.chart+xml"/>
  <Override PartName="/xl/charts/chart81.xml" ContentType="application/vnd.openxmlformats-officedocument.drawingml.chart+xml"/>
  <Override PartName="/xl/charts/chart148.xml" ContentType="application/vnd.openxmlformats-officedocument.drawingml.chart+xml"/>
  <Override PartName="/xl/charts/chart82.xml" ContentType="application/vnd.openxmlformats-officedocument.drawingml.chart+xml"/>
  <Override PartName="/xl/charts/chart149.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156.xml" ContentType="application/vnd.openxmlformats-officedocument.drawingml.chart+xml"/>
  <Override PartName="/xl/charts/chart90.xml" ContentType="application/vnd.openxmlformats-officedocument.drawingml.chart+xml"/>
  <Override PartName="/xl/charts/chart157.xml" ContentType="application/vnd.openxmlformats-officedocument.drawingml.chart+xml"/>
  <Override PartName="/xl/charts/chart91.xml" ContentType="application/vnd.openxmlformats-officedocument.drawingml.chart+xml"/>
  <Override PartName="/xl/charts/chart158.xml" ContentType="application/vnd.openxmlformats-officedocument.drawingml.chart+xml"/>
  <Override PartName="/xl/charts/chart92.xml" ContentType="application/vnd.openxmlformats-officedocument.drawingml.chart+xml"/>
  <Override PartName="/xl/charts/chart159.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harts/chart97.xml" ContentType="application/vnd.openxmlformats-officedocument.drawingml.chart+xml"/>
  <Override PartName="/xl/charts/chart98.xml" ContentType="application/vnd.openxmlformats-officedocument.drawingml.chart+xml"/>
  <Override PartName="/xl/charts/chart99.xml" ContentType="application/vnd.openxmlformats-officedocument.drawingml.chart+xml"/>
  <Override PartName="/xl/charts/chart100.xml" ContentType="application/vnd.openxmlformats-officedocument.drawingml.chart+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10.xml" ContentType="application/vnd.openxmlformats-officedocument.drawingml.chart+xml"/>
  <Override PartName="/xl/charts/chart111.xml" ContentType="application/vnd.openxmlformats-officedocument.drawingml.chart+xml"/>
  <Override PartName="/xl/charts/chart112.xml" ContentType="application/vnd.openxmlformats-officedocument.drawingml.chart+xml"/>
  <Override PartName="/xl/charts/chart113.xml" ContentType="application/vnd.openxmlformats-officedocument.drawingml.chart+xml"/>
  <Override PartName="/xl/charts/chart114.xml" ContentType="application/vnd.openxmlformats-officedocument.drawingml.chart+xml"/>
  <Override PartName="/xl/charts/chart115.xml" ContentType="application/vnd.openxmlformats-officedocument.drawingml.chart+xml"/>
  <Override PartName="/xl/charts/chart120.xml" ContentType="application/vnd.openxmlformats-officedocument.drawingml.chart+xml"/>
  <Override PartName="/xl/charts/chart121.xml" ContentType="application/vnd.openxmlformats-officedocument.drawingml.chart+xml"/>
  <Override PartName="/xl/charts/chart122.xml" ContentType="application/vnd.openxmlformats-officedocument.drawingml.chart+xml"/>
  <Override PartName="/xl/charts/chart123.xml" ContentType="application/vnd.openxmlformats-officedocument.drawingml.chart+xml"/>
  <Override PartName="/xl/charts/chart124.xml" ContentType="application/vnd.openxmlformats-officedocument.drawingml.chart+xml"/>
  <Override PartName="/xl/charts/chart125.xml" ContentType="application/vnd.openxmlformats-officedocument.drawingml.chart+xml"/>
  <Override PartName="/xl/charts/chart130.xml" ContentType="application/vnd.openxmlformats-officedocument.drawingml.chart+xml"/>
  <Override PartName="/xl/charts/chart131.xml" ContentType="application/vnd.openxmlformats-officedocument.drawingml.chart+xml"/>
  <Override PartName="/xl/charts/chart132.xml" ContentType="application/vnd.openxmlformats-officedocument.drawingml.chart+xml"/>
  <Override PartName="/xl/charts/chart133.xml" ContentType="application/vnd.openxmlformats-officedocument.drawingml.chart+xml"/>
  <Override PartName="/xl/charts/chart134.xml" ContentType="application/vnd.openxmlformats-officedocument.drawingml.chart+xml"/>
  <Override PartName="/xl/charts/chart135.xml" ContentType="application/vnd.openxmlformats-officedocument.drawingml.chart+xml"/>
  <Override PartName="/xl/charts/chart140.xml" ContentType="application/vnd.openxmlformats-officedocument.drawingml.chart+xml"/>
  <Override PartName="/xl/charts/chart141.xml" ContentType="application/vnd.openxmlformats-officedocument.drawingml.chart+xml"/>
  <Override PartName="/xl/charts/chart142.xml" ContentType="application/vnd.openxmlformats-officedocument.drawingml.chart+xml"/>
  <Override PartName="/xl/charts/chart143.xml" ContentType="application/vnd.openxmlformats-officedocument.drawingml.chart+xml"/>
  <Override PartName="/xl/charts/chart144.xml" ContentType="application/vnd.openxmlformats-officedocument.drawingml.chart+xml"/>
  <Override PartName="/xl/charts/chart145.xml" ContentType="application/vnd.openxmlformats-officedocument.drawingml.chart+xml"/>
  <Override PartName="/xl/charts/chart150.xml" ContentType="application/vnd.openxmlformats-officedocument.drawingml.chart+xml"/>
  <Override PartName="/xl/charts/chart151.xml" ContentType="application/vnd.openxmlformats-officedocument.drawingml.chart+xml"/>
  <Override PartName="/xl/charts/chart152.xml" ContentType="application/vnd.openxmlformats-officedocument.drawingml.chart+xml"/>
  <Override PartName="/xl/charts/chart153.xml" ContentType="application/vnd.openxmlformats-officedocument.drawingml.chart+xml"/>
  <Override PartName="/xl/charts/chart154.xml" ContentType="application/vnd.openxmlformats-officedocument.drawingml.chart+xml"/>
  <Override PartName="/xl/charts/chart155.xml" ContentType="application/vnd.openxmlformats-officedocument.drawingml.chart+xml"/>
  <Override PartName="/xl/charts/chart160.xml" ContentType="application/vnd.openxmlformats-officedocument.drawingml.chart+xml"/>
  <Override PartName="/xl/charts/chart161.xml" ContentType="application/vnd.openxmlformats-officedocument.drawingml.chart+xml"/>
  <Override PartName="/xl/charts/chart162.xml" ContentType="application/vnd.openxmlformats-officedocument.drawingml.chart+xml"/>
  <Override PartName="/xl/charts/chart163.xml" ContentType="application/vnd.openxmlformats-officedocument.drawingml.chart+xml"/>
  <Override PartName="/xl/charts/chart164.xml" ContentType="application/vnd.openxmlformats-officedocument.drawingml.chart+xml"/>
  <Override PartName="/xl/charts/chart165.xml" ContentType="application/vnd.openxmlformats-officedocument.drawingml.chart+xml"/>
  <Override PartName="/xl/charts/chart166.xml" ContentType="application/vnd.openxmlformats-officedocument.drawingml.chart+xml"/>
  <Override PartName="/xl/charts/chart167.xml" ContentType="application/vnd.openxmlformats-officedocument.drawingml.chart+xml"/>
  <Override PartName="/xl/charts/chart168.xml" ContentType="application/vnd.openxmlformats-officedocument.drawingml.chart+xml"/>
  <Override PartName="/xl/charts/chart169.xml" ContentType="application/vnd.openxmlformats-officedocument.drawingml.chart+xml"/>
  <Override PartName="/xl/charts/chart170.xml" ContentType="application/vnd.openxmlformats-officedocument.drawingml.chart+xml"/>
  <Override PartName="/xl/charts/chart171.xml" ContentType="application/vnd.openxmlformats-officedocument.drawingml.chart+xml"/>
  <Override PartName="/xl/charts/chart172.xml" ContentType="application/vnd.openxmlformats-officedocument.drawingml.chart+xml"/>
  <Override PartName="/xl/charts/chart173.xml" ContentType="application/vnd.openxmlformats-officedocument.drawingml.chart+xml"/>
  <Override PartName="/xl/charts/chart174.xml" ContentType="application/vnd.openxmlformats-officedocument.drawingml.chart+xml"/>
  <Override PartName="/xl/charts/chart175.xml" ContentType="application/vnd.openxmlformats-officedocument.drawingml.chart+xml"/>
  <Override PartName="/xl/charts/chart176.xml" ContentType="application/vnd.openxmlformats-officedocument.drawingml.chart+xml"/>
  <Override PartName="/xl/charts/chart177.xml" ContentType="application/vnd.openxmlformats-officedocument.drawingml.chart+xml"/>
  <Override PartName="/xl/charts/chart178.xml" ContentType="application/vnd.openxmlformats-officedocument.drawingml.chart+xml"/>
  <Override PartName="/xl/drawings/vmlDrawing9.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vmlDrawing6.vml" ContentType="application/vnd.openxmlformats-officedocument.vmlDrawing"/>
  <Override PartName="/xl/drawings/_rels/drawing9.xml.rels" ContentType="application/vnd.openxmlformats-package.relationships+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vmlDrawing7.vml" ContentType="application/vnd.openxmlformats-officedocument.vmlDrawing"/>
  <Override PartName="/xl/drawings/vmlDrawing8.vml" ContentType="application/vnd.openxmlformats-officedocument.vmlDrawing"/>
  <Override PartName="/xl/drawings/drawing6.xml" ContentType="application/vnd.openxmlformats-officedocument.drawing+xml"/>
  <Override PartName="/xl/drawings/vmlDrawing10.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7.xml" ContentType="application/vnd.openxmlformats-officedocument.drawing+xml"/>
  <Override PartName="/xl/drawings/vmlDrawing11.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2.xml" ContentType="application/vnd.openxmlformats-officedocument.spreadsheetml.comments+xml"/>
  <Override PartName="/xl/comments23.xml" ContentType="application/vnd.openxmlformats-officedocument.spreadsheetml.comments+xml"/>
  <Override PartName="/xl/media/image9.png" ContentType="image/png"/>
  <Override PartName="/xl/media/image1.png" ContentType="image/png"/>
  <Override PartName="/xl/media/image2.png" ContentType="image/png"/>
  <Override PartName="/xl/media/image3.png" ContentType="image/png"/>
  <Override PartName="/xl/media/image4.png" ContentType="image/png"/>
  <Override PartName="/xl/media/image5.png" ContentType="image/png"/>
  <Override PartName="/xl/media/image8.jpeg" ContentType="image/jpeg"/>
  <Override PartName="/xl/media/image6.png" ContentType="image/png"/>
  <Override PartName="/xl/media/image7.png" ContentType="image/png"/>
  <Override PartName="/xl/media/image10.png" ContentType="image/png"/>
  <Override PartName="/xl/media/image11.png" ContentType="image/png"/>
  <Override PartName="/xl/media/image12.png" ContentType="image/png"/>
  <Override PartName="/xl/media/image13.png" ContentType="image/png"/>
  <Override PartName="/xl/media/image14.png" ContentType="image/png"/>
  <Override PartName="/xl/media/image15.png" ContentType="image/png"/>
  <Override PartName="/xl/media/image16.jpeg" ContentType="image/jpeg"/>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27" activeTab="28"/>
  </bookViews>
  <sheets>
    <sheet name="INSTRUCCIONS" sheetId="1" state="hidden" r:id="rId2"/>
    <sheet name="Metodologia" sheetId="2" state="hidden" r:id="rId3"/>
    <sheet name="0.DADES" sheetId="3" state="hidden" r:id="rId4"/>
    <sheet name="1.EE" sheetId="4" state="hidden" r:id="rId5"/>
    <sheet name="2.GN" sheetId="5" state="hidden" r:id="rId6"/>
    <sheet name="3.GLP" sheetId="6" state="hidden" r:id="rId7"/>
    <sheet name="4.CL" sheetId="7" state="hidden" r:id="rId8"/>
    <sheet name="5.RENOVABLES" sheetId="8" state="hidden" r:id="rId9"/>
    <sheet name="6.RESIDUS" sheetId="9" state="hidden" r:id="rId10"/>
    <sheet name="7.AIGUA" sheetId="10" state="hidden" r:id="rId11"/>
    <sheet name="8.EQUIPAM" sheetId="11" state="hidden" r:id="rId12"/>
    <sheet name="9.ENLLUME i SEMÀFORS" sheetId="12" state="hidden" r:id="rId13"/>
    <sheet name="10. VEHICLES PROPIS" sheetId="13" state="hidden" r:id="rId14"/>
    <sheet name="11. VEHICLES EXT." sheetId="14" state="hidden" r:id="rId15"/>
    <sheet name="13. ESCENARI" sheetId="15" state="hidden" r:id="rId16"/>
    <sheet name="T. MUNICIPI" sheetId="16" state="hidden" r:id="rId17"/>
    <sheet name="T. PAES" sheetId="17" state="hidden" r:id="rId18"/>
    <sheet name="T.AJUNTAMENT" sheetId="18" state="hidden" r:id="rId19"/>
    <sheet name="T. RENOVABLES" sheetId="19" state="hidden" r:id="rId20"/>
    <sheet name="ESCENARI ESTRATÈGIA" sheetId="20" state="hidden" r:id="rId21"/>
    <sheet name="ESCENARI PAES" sheetId="21" state="hidden" r:id="rId22"/>
    <sheet name="T. ANNEXOS" sheetId="22" state="hidden" r:id="rId23"/>
    <sheet name="T.R ESUM ÀMBIT PAES" sheetId="23" state="hidden" r:id="rId24"/>
    <sheet name="PRODUCCIÓ ENERGÈTICA LOCAL" sheetId="24" state="hidden" r:id="rId25"/>
    <sheet name="PROGREMIC RESIDUS" sheetId="25" state="hidden" r:id="rId26"/>
    <sheet name="Dades Edar" sheetId="26" state="hidden" r:id="rId27"/>
    <sheet name="Hoja4" sheetId="27" state="hidden" r:id="rId28"/>
    <sheet name="Baseline Emission Inventory-05" sheetId="28" state="visible" r:id="rId29"/>
    <sheet name="Baseline Emission Inventory-09" sheetId="29" state="visible" r:id="rId30"/>
  </sheets>
  <externalReferences>
    <externalReference r:id="rId31"/>
    <externalReference r:id="rId32"/>
  </externalReferences>
  <definedNames>
    <definedName function="false" hidden="false" localSheetId="15" name="_xlnm.Print_Area" vbProcedure="false">'T. MUNICIPI'!$A$9:$AN$153</definedName>
    <definedName function="false" hidden="false" localSheetId="17" name="_xlnm.Print_Area" vbProcedure="false">'T.AJUNTAMENT'!$H$3:$W$286</definedName>
    <definedName function="false" hidden="false" name="nucli" vbProcedure="false">[3]'8.EQUIPAM'!$A$508:$A$510</definedName>
    <definedName function="false" hidden="false" name="tipologia" vbProcedure="false">'8.EQUIPAM'!$A$270:$A$275</definedName>
    <definedName function="false" hidden="false" localSheetId="7" name="_ftn1" vbProcedure="false">'5.renovables'!#ref!</definedName>
    <definedName function="false" hidden="false" localSheetId="7" name="_ftnref1" vbProcedure="false">'5.renovables'!#ref!</definedName>
    <definedName function="false" hidden="false" localSheetId="11" name="_xlnm._FilterDatabase" vbProcedure="false">'9.ENLLUME i SEMÀFORS'!$A$17:$R$19</definedName>
    <definedName function="false" hidden="false" localSheetId="12" name="_xlnm._FilterDatabase" vbProcedure="false">'10. VEHICLES PROPIS'!$A$18:$O$44</definedName>
    <definedName function="false" hidden="false" localSheetId="15" name="_xlnm.Print_Area" vbProcedure="false">'T. MUNICIPI'!$A$9:$AN$153</definedName>
    <definedName function="false" hidden="false" localSheetId="17" name="tipologia" vbProcedure="false">'8.EQUIPAM'!$A$271:$A$276</definedName>
    <definedName function="false" hidden="false" localSheetId="17" name="_xlnm.Print_Area" vbProcedure="false">'T.AJUNTAMENT'!$H$3:$W$286</definedName>
    <definedName function="false" hidden="false" localSheetId="18" name="_ftn1" vbProcedure="false">'t. renovables'!#ref!</definedName>
    <definedName function="false" hidden="false" localSheetId="18" name="_ftnref1" vbProcedure="false">'t. renovables'!#ref!</definedName>
    <definedName function="false" hidden="false" localSheetId="27" name="tipologia" vbProcedure="false">[4]'8.EQUIPAM'!$A$270:$A$275</definedName>
    <definedName function="false" hidden="false" localSheetId="28" name="tipologia" vbProcedure="false">[4]'8.EQUIPAM'!$A$270:$A$275</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s>
  <commentList>
    <comment ref="M8" authorId="0">
      <text>
        <r>
          <rPr>
            <b val="true"/>
            <sz val="8"/>
            <color rgb="FF000000"/>
            <rFont val="Tahoma"/>
            <family val="2"/>
            <charset val="1"/>
          </rPr>
          <t xml:space="preserve">lv03 - Maria Rosa Pascual:
</t>
        </r>
      </text>
    </comment>
    <comment ref="M25" authorId="0">
      <text>
        <r>
          <rPr>
            <b val="true"/>
            <sz val="8"/>
            <color rgb="FF000000"/>
            <rFont val="Tahoma"/>
            <family val="2"/>
            <charset val="1"/>
          </rPr>
          <t xml:space="preserve">lv03 - Maria Rosa Pascual:
</t>
        </r>
      </text>
    </comment>
  </commentList>
</comments>
</file>

<file path=xl/comments11.xml><?xml version="1.0" encoding="utf-8"?>
<comments xmlns="http://schemas.openxmlformats.org/spreadsheetml/2006/main" xmlns:xdr="http://schemas.openxmlformats.org/drawingml/2006/spreadsheetDrawing">
  <authors>
    <author/>
  </authors>
  <commentList>
    <comment ref="A155" authorId="0">
      <text>
        <r>
          <rPr>
            <b val="true"/>
            <sz val="8"/>
            <color rgb="FF000000"/>
            <rFont val="Tahoma"/>
            <family val="2"/>
            <charset val="1"/>
          </rPr>
          <t xml:space="preserve">Nuria Pous:
</t>
        </r>
        <r>
          <rPr>
            <sz val="8"/>
            <color rgb="FF000000"/>
            <rFont val="Tahoma"/>
            <family val="2"/>
            <charset val="1"/>
          </rPr>
          <t xml:space="preserve">El consum s'ha considerat constant durant el 2005-2010 per falta de dades</t>
        </r>
      </text>
    </comment>
    <comment ref="A185" authorId="0">
      <text>
        <r>
          <rPr>
            <b val="true"/>
            <sz val="8"/>
            <color rgb="FF000000"/>
            <rFont val="Tahoma"/>
            <family val="2"/>
            <charset val="1"/>
          </rPr>
          <t xml:space="preserve">Nuria Pous:</t>
        </r>
        <r>
          <rPr>
            <sz val="8"/>
            <color rgb="FF000000"/>
            <rFont val="Tahoma"/>
            <family val="2"/>
            <charset val="1"/>
          </rPr>
          <t xml:space="preserve"> VAES</t>
        </r>
      </text>
    </comment>
  </commentList>
</comments>
</file>

<file path=xl/comments12.xml><?xml version="1.0" encoding="utf-8"?>
<comments xmlns="http://schemas.openxmlformats.org/spreadsheetml/2006/main" xmlns:xdr="http://schemas.openxmlformats.org/drawingml/2006/spreadsheetDrawing">
  <authors>
    <author/>
  </authors>
  <commentList>
    <comment ref="A10" authorId="0">
      <text>
        <r>
          <rPr>
            <b val="true"/>
            <sz val="8"/>
            <color rgb="FF000000"/>
            <rFont val="Tahoma"/>
            <family val="2"/>
            <charset val="1"/>
          </rPr>
          <t xml:space="preserve">berta riba:
</t>
        </r>
        <r>
          <rPr>
            <sz val="8"/>
            <color rgb="FF000000"/>
            <rFont val="Tahoma"/>
            <family val="2"/>
            <charset val="1"/>
          </rPr>
          <t xml:space="preserve">Considerem un valor fix. En cas que hi hagi hagut variacions en les unitats de semàfors cal modificar els càlculs.</t>
        </r>
      </text>
    </comment>
  </commentList>
</comments>
</file>

<file path=xl/comments15.xml><?xml version="1.0" encoding="utf-8"?>
<comments xmlns="http://schemas.openxmlformats.org/spreadsheetml/2006/main" xmlns:xdr="http://schemas.openxmlformats.org/drawingml/2006/spreadsheetDrawing">
  <authors>
    <author/>
  </authors>
  <commentList>
    <comment ref="B2" authorId="0">
      <text>
        <r>
          <rPr>
            <b val="true"/>
            <sz val="9"/>
            <color rgb="FF000000"/>
            <rFont val="Tahoma"/>
            <family val="2"/>
            <charset val="1"/>
          </rPr>
          <t xml:space="preserve">Miki Rubio:
</t>
        </r>
        <r>
          <rPr>
            <sz val="9"/>
            <color rgb="FF000000"/>
            <rFont val="Tahoma"/>
            <family val="2"/>
            <charset val="1"/>
          </rPr>
          <t xml:space="preserve">De l'any 2005 al 2010 posa els valors resultants de l'inventari àmbit PAES</t>
        </r>
      </text>
    </comment>
    <comment ref="B3" authorId="0">
      <text>
        <r>
          <rPr>
            <b val="true"/>
            <sz val="8"/>
            <color rgb="FF000000"/>
            <rFont val="Tahoma"/>
            <family val="2"/>
            <charset val="1"/>
          </rPr>
          <t xml:space="preserve">lv125:
</t>
        </r>
        <r>
          <rPr>
            <sz val="8"/>
            <color rgb="FF000000"/>
            <rFont val="Tahoma"/>
            <family val="2"/>
            <charset val="1"/>
          </rPr>
          <t xml:space="preserve">Aquest valor calcula la tendència de les emissions del municipi, de manera que es fa entre els anys que es disposa de dades. Per exemple, si l'inventari l'any base és 2005 i tenim dades fins l'any 2009, doncs es fa l'increment existent i es divideix per 4 anys, per tenir el valor anual.</t>
        </r>
      </text>
    </comment>
    <comment ref="B6" authorId="0">
      <text>
        <r>
          <rPr>
            <sz val="9"/>
            <color rgb="FF000000"/>
            <rFont val="Tahoma"/>
            <family val="2"/>
            <charset val="1"/>
          </rPr>
          <t xml:space="preserve">Aquest valor l'hem fixat desde lavola tenint en compte l'escenari econòmic i també el que estan fent els municipis que ja disposen de PAES</t>
        </r>
      </text>
    </comment>
    <comment ref="B7" authorId="0">
      <text>
        <r>
          <rPr>
            <sz val="9"/>
            <color rgb="FF000000"/>
            <rFont val="Tahoma"/>
            <family val="2"/>
            <charset val="1"/>
          </rPr>
          <t xml:space="preserve">Aquest valor l'hem fixat desde lavola tenint en compte l'escenari econòmic i també el que estan fent els municipis que ja disposen de PAES. Aquest període serà un dels més actius del desplegament del PAES, però algunes de les mesures no seran efectives fins al període 2016-2020</t>
        </r>
      </text>
    </comment>
    <comment ref="B8" authorId="0">
      <text>
        <r>
          <rPr>
            <sz val="9"/>
            <color rgb="FF000000"/>
            <rFont val="Tahoma"/>
            <family val="2"/>
            <charset val="1"/>
          </rPr>
          <t xml:space="preserve">Aquest valor l'hem fixat desde lavola tenint en compte l'escenari econòmic i també el que estan fent els municipis que ja disposen de PAES, preveient que la majoria d'accions seran efectives a finals del període de vigència del PAES
</t>
        </r>
      </text>
    </comment>
    <comment ref="B16" authorId="0">
      <text>
        <r>
          <rPr>
            <b val="true"/>
            <sz val="8"/>
            <color rgb="FF000000"/>
            <rFont val="Tahoma"/>
            <family val="2"/>
            <charset val="1"/>
          </rPr>
          <t xml:space="preserve">lv125:
</t>
        </r>
        <r>
          <rPr>
            <sz val="8"/>
            <color rgb="FF000000"/>
            <rFont val="Tahoma"/>
            <family val="2"/>
            <charset val="1"/>
          </rPr>
          <t xml:space="preserve">Cal omplir aquest valor de l'eina de les accions del PAES</t>
        </r>
      </text>
    </comment>
    <comment ref="B19" authorId="0">
      <text>
        <r>
          <rPr>
            <b val="true"/>
            <sz val="8"/>
            <color rgb="FF000000"/>
            <rFont val="Tahoma"/>
            <family val="2"/>
            <charset val="1"/>
          </rPr>
          <t xml:space="preserve">lv125:
Cal omplir aquest valor de l'eina de les accions del PAES</t>
        </r>
      </text>
    </comment>
    <comment ref="Q9" authorId="0">
      <text>
        <r>
          <rPr>
            <sz val="9"/>
            <color rgb="FF000000"/>
            <rFont val="Tahoma"/>
            <family val="2"/>
            <charset val="1"/>
          </rPr>
          <t xml:space="preserve">Valor de comprovació que ha de donar igual que el de sobre</t>
        </r>
      </text>
    </comment>
    <comment ref="Q16" authorId="0">
      <text>
        <r>
          <rPr>
            <sz val="9"/>
            <color rgb="FF000000"/>
            <rFont val="Tahoma"/>
            <family val="2"/>
            <charset val="1"/>
          </rPr>
          <t xml:space="preserve">Valor de comprovació que ha de donar igual que el de sobre</t>
        </r>
      </text>
    </comment>
    <comment ref="Q19" authorId="0">
      <text>
        <r>
          <rPr>
            <sz val="9"/>
            <color rgb="FF000000"/>
            <rFont val="Tahoma"/>
            <family val="2"/>
            <charset val="1"/>
          </rPr>
          <t xml:space="preserve">Valor de comprovació que ha de donar igual que el de sobre
</t>
        </r>
      </text>
    </comment>
    <comment ref="Q22" authorId="0">
      <text>
        <r>
          <rPr>
            <sz val="9"/>
            <color rgb="FF000000"/>
            <rFont val="Tahoma"/>
            <family val="2"/>
            <charset val="1"/>
          </rPr>
          <t xml:space="preserve">Valor de comprovació que ha de donar igual que el de sobre
</t>
        </r>
      </text>
    </comment>
  </commentList>
</comments>
</file>

<file path=xl/comments23.xml><?xml version="1.0" encoding="utf-8"?>
<comments xmlns="http://schemas.openxmlformats.org/spreadsheetml/2006/main" xmlns:xdr="http://schemas.openxmlformats.org/drawingml/2006/spreadsheetDrawing">
  <authors>
    <author/>
  </authors>
  <commentList>
    <comment ref="C19" authorId="0">
      <text>
        <r>
          <rPr>
            <b val="true"/>
            <sz val="8"/>
            <color rgb="FF000000"/>
            <rFont val="Tahoma"/>
            <family val="2"/>
            <charset val="1"/>
          </rPr>
          <t xml:space="preserve">Berta Riba:
</t>
        </r>
        <r>
          <rPr>
            <sz val="8"/>
            <color rgb="FF000000"/>
            <rFont val="Tahoma"/>
            <family val="2"/>
            <charset val="1"/>
          </rPr>
          <t xml:space="preserve">Inclou el tractament i el transport de residus
</t>
        </r>
      </text>
    </comment>
  </commentList>
</comments>
</file>

<file path=xl/comments3.xml><?xml version="1.0" encoding="utf-8"?>
<comments xmlns="http://schemas.openxmlformats.org/spreadsheetml/2006/main" xmlns:xdr="http://schemas.openxmlformats.org/drawingml/2006/spreadsheetDrawing">
  <authors>
    <author/>
  </authors>
  <commentList>
    <comment ref="B37" authorId="0">
      <text>
        <r>
          <rPr>
            <b val="true"/>
            <sz val="8"/>
            <color rgb="FF000000"/>
            <rFont val="Tahoma"/>
            <family val="2"/>
            <charset val="1"/>
          </rPr>
          <t xml:space="preserve">Miriam Galindo:
</t>
        </r>
        <r>
          <rPr>
            <sz val="8"/>
            <color rgb="FF000000"/>
            <rFont val="Tahoma"/>
            <family val="2"/>
            <charset val="1"/>
          </rPr>
          <t xml:space="preserve">Verificar</t>
        </r>
      </text>
    </comment>
    <comment ref="B81" authorId="0">
      <text>
        <r>
          <rPr>
            <b val="true"/>
            <sz val="8"/>
            <color rgb="FF000000"/>
            <rFont val="Tahoma"/>
            <family val="2"/>
            <charset val="1"/>
          </rPr>
          <t xml:space="preserve">berta riba:
</t>
        </r>
        <r>
          <rPr>
            <sz val="8"/>
            <color rgb="FF000000"/>
            <rFont val="Tahoma"/>
            <family val="2"/>
            <charset val="1"/>
          </rPr>
          <t xml:space="preserve">ETAP TER 
2005:0,09
2006: 0,10
2007:0,10
2008:0,13
ETAP LLOBREGAT
2005:0,49
2006: 0,53
2007:0,54
2008:0,55
</t>
        </r>
      </text>
    </comment>
    <comment ref="D12" authorId="0">
      <text>
        <r>
          <rPr>
            <b val="true"/>
            <sz val="8"/>
            <color rgb="FF000000"/>
            <rFont val="Tahoma"/>
            <family val="2"/>
            <charset val="1"/>
          </rPr>
          <t xml:space="preserve">Laura Cid:
</t>
        </r>
        <r>
          <rPr>
            <sz val="8"/>
            <color rgb="FF000000"/>
            <rFont val="Tahoma"/>
            <family val="2"/>
            <charset val="1"/>
          </rPr>
          <t xml:space="preserve">Dades dels indicadors de l'A21 calculat a partir de les places turístiques i l'ocupació hotelera</t>
        </r>
      </text>
    </comment>
  </commentList>
</comments>
</file>

<file path=xl/comments4.xml><?xml version="1.0" encoding="utf-8"?>
<comments xmlns="http://schemas.openxmlformats.org/spreadsheetml/2006/main" xmlns:xdr="http://schemas.openxmlformats.org/drawingml/2006/spreadsheetDrawing">
  <authors>
    <author/>
  </authors>
  <commentList>
    <comment ref="A10" authorId="0">
      <text>
        <r>
          <rPr>
            <b val="true"/>
            <sz val="8"/>
            <color rgb="FF000000"/>
            <rFont val="Tahoma"/>
            <family val="2"/>
            <charset val="1"/>
          </rPr>
          <t xml:space="preserve">Miriam Galindo:
</t>
        </r>
        <r>
          <rPr>
            <sz val="8"/>
            <color rgb="FF000000"/>
            <rFont val="Tahoma"/>
            <family val="2"/>
            <charset val="1"/>
          </rPr>
          <t xml:space="preserve">Font: Ibestat</t>
        </r>
      </text>
    </comment>
    <comment ref="A13" authorId="0">
      <text>
        <r>
          <rPr>
            <b val="true"/>
            <sz val="8"/>
            <color rgb="FF000000"/>
            <rFont val="Tahoma"/>
            <family val="2"/>
            <charset val="1"/>
          </rPr>
          <t xml:space="preserve">Miriam Galindo:
</t>
        </r>
        <r>
          <rPr>
            <sz val="8"/>
            <color rgb="FF000000"/>
            <rFont val="Tahoma"/>
            <family val="2"/>
            <charset val="1"/>
          </rPr>
          <t xml:space="preserve">Font  anuari DGE. Dada 2010 extreta de IBESTAT</t>
        </r>
      </text>
    </comment>
    <comment ref="E26" authorId="0">
      <text>
        <r>
          <rPr>
            <b val="true"/>
            <sz val="8"/>
            <color rgb="FF000000"/>
            <rFont val="Tahoma"/>
            <family val="2"/>
            <charset val="1"/>
          </rPr>
          <t xml:space="preserve">Miriam Galindo:
</t>
        </r>
        <r>
          <rPr>
            <sz val="8"/>
            <color rgb="FF000000"/>
            <rFont val="Tahoma"/>
            <family val="2"/>
            <charset val="1"/>
          </rPr>
          <t xml:space="preserve">No es disposa d'aquesta dada segregada del sector serveis, s'ha estimat en base a la mitjana dels anys disponibles i restat de la categoria serveis.</t>
        </r>
      </text>
    </comment>
  </commentList>
</comments>
</file>

<file path=xl/comments6.xml><?xml version="1.0" encoding="utf-8"?>
<comments xmlns="http://schemas.openxmlformats.org/spreadsheetml/2006/main" xmlns:xdr="http://schemas.openxmlformats.org/drawingml/2006/spreadsheetDrawing">
  <authors>
    <author/>
  </authors>
  <commentList>
    <comment ref="B20" authorId="0">
      <text>
        <r>
          <rPr>
            <b val="true"/>
            <sz val="8"/>
            <color rgb="FF000000"/>
            <rFont val="Tahoma"/>
            <family val="2"/>
            <charset val="1"/>
          </rPr>
          <t xml:space="preserve">Miriam Galindo:
</t>
        </r>
        <r>
          <rPr>
            <sz val="8"/>
            <color rgb="FF000000"/>
            <rFont val="Tahoma"/>
            <family val="2"/>
            <charset val="1"/>
          </rPr>
          <t xml:space="preserve">Mitjana dels anys 2007, 2008 i 2009. </t>
        </r>
      </text>
    </comment>
    <comment ref="B21" authorId="0">
      <text>
        <r>
          <rPr>
            <b val="true"/>
            <sz val="8"/>
            <color rgb="FF000000"/>
            <rFont val="Tahoma"/>
            <family val="2"/>
            <charset val="1"/>
          </rPr>
          <t xml:space="preserve">Miriam Galindo:
</t>
        </r>
        <r>
          <rPr>
            <sz val="8"/>
            <color rgb="FF000000"/>
            <rFont val="Tahoma"/>
            <family val="2"/>
            <charset val="1"/>
          </rPr>
          <t xml:space="preserve">Es donava consum domèstic i servei conjuntament. Se li ha restat la mitjana calculada per serveis</t>
        </r>
      </text>
    </comment>
    <comment ref="C20" authorId="0">
      <text>
        <r>
          <rPr>
            <b val="true"/>
            <sz val="8"/>
            <color rgb="FF000000"/>
            <rFont val="Tahoma"/>
            <family val="2"/>
            <charset val="1"/>
          </rPr>
          <t xml:space="preserve">Miriam Galindo:
</t>
        </r>
        <r>
          <rPr>
            <sz val="8"/>
            <color rgb="FF000000"/>
            <rFont val="Tahoma"/>
            <family val="2"/>
            <charset val="1"/>
          </rPr>
          <t xml:space="preserve">Mitjana dels anys 2007, 2008 i 2009. </t>
        </r>
      </text>
    </comment>
    <comment ref="C21" authorId="0">
      <text>
        <r>
          <rPr>
            <b val="true"/>
            <sz val="8"/>
            <color rgb="FF000000"/>
            <rFont val="Tahoma"/>
            <family val="2"/>
            <charset val="1"/>
          </rPr>
          <t xml:space="preserve">Miriam Galindo:
</t>
        </r>
        <r>
          <rPr>
            <sz val="8"/>
            <color rgb="FF000000"/>
            <rFont val="Tahoma"/>
            <family val="2"/>
            <charset val="1"/>
          </rPr>
          <t xml:space="preserve">Es donava consum serveis i domèstic conjuntament. Se li ha restat la mitjana calculada per serveis</t>
        </r>
      </text>
    </comment>
  </commentList>
</comments>
</file>

<file path=xl/comments7.xml><?xml version="1.0" encoding="utf-8"?>
<comments xmlns="http://schemas.openxmlformats.org/spreadsheetml/2006/main" xmlns:xdr="http://schemas.openxmlformats.org/drawingml/2006/spreadsheetDrawing">
  <authors>
    <author/>
  </authors>
  <commentList>
    <comment ref="A37" authorId="0">
      <text>
        <r>
          <rPr>
            <b val="true"/>
            <sz val="8"/>
            <color rgb="FF000000"/>
            <rFont val="Tahoma"/>
            <family val="2"/>
            <charset val="1"/>
          </rPr>
          <t xml:space="preserve">Miriam Galindo:
</t>
        </r>
        <r>
          <rPr>
            <sz val="8"/>
            <color rgb="FF000000"/>
            <rFont val="Tahoma"/>
            <family val="2"/>
            <charset val="1"/>
          </rPr>
          <t xml:space="preserve">Productes petrolífers lleugers</t>
        </r>
      </text>
    </comment>
    <comment ref="A43" authorId="0">
      <text>
        <r>
          <rPr>
            <b val="true"/>
            <sz val="8"/>
            <color rgb="FF000000"/>
            <rFont val="Tahoma"/>
            <family val="2"/>
            <charset val="1"/>
          </rPr>
          <t xml:space="preserve">Miriam Galindo:
</t>
        </r>
        <r>
          <rPr>
            <sz val="8"/>
            <color rgb="FF000000"/>
            <rFont val="Tahoma"/>
            <family val="2"/>
            <charset val="1"/>
          </rPr>
          <t xml:space="preserve">Inclou només transport  terrestres. No s'incloul transport aeri</t>
        </r>
      </text>
    </comment>
    <comment ref="G49" authorId="0">
      <text>
        <r>
          <rPr>
            <b val="true"/>
            <sz val="8"/>
            <color rgb="FF000000"/>
            <rFont val="Tahoma"/>
            <family val="2"/>
            <charset val="1"/>
          </rPr>
          <t xml:space="preserve">Miriam Galindo:
</t>
        </r>
        <r>
          <rPr>
            <sz val="8"/>
            <color rgb="FF000000"/>
            <rFont val="Tahoma"/>
            <family val="2"/>
            <charset val="1"/>
          </rPr>
          <t xml:space="preserve">Any 2010. Dades obtingudes de la web de la DGE "Estadístiques 2010"</t>
        </r>
      </text>
    </comment>
    <comment ref="G57" authorId="0">
      <text>
        <r>
          <rPr>
            <b val="true"/>
            <sz val="8"/>
            <color rgb="FF000000"/>
            <rFont val="Tahoma"/>
            <family val="2"/>
            <charset val="1"/>
          </rPr>
          <t xml:space="preserve">Miriam Galindo:
</t>
        </r>
        <r>
          <rPr>
            <sz val="8"/>
            <color rgb="FF000000"/>
            <rFont val="Tahoma"/>
            <family val="2"/>
            <charset val="1"/>
          </rPr>
          <t xml:space="preserve">No es disposa d'aquesta dada, així que suposem el mateix consum q a 2009</t>
        </r>
      </text>
    </comment>
  </commentList>
</comments>
</file>

<file path=xl/comments8.xml><?xml version="1.0" encoding="utf-8"?>
<comments xmlns="http://schemas.openxmlformats.org/spreadsheetml/2006/main" xmlns:xdr="http://schemas.openxmlformats.org/drawingml/2006/spreadsheetDrawing">
  <authors>
    <author/>
  </authors>
  <commentList>
    <comment ref="C10" authorId="0">
      <text>
        <r>
          <rPr>
            <b val="true"/>
            <sz val="8"/>
            <color rgb="FF000000"/>
            <rFont val="Tahoma"/>
            <family val="2"/>
            <charset val="1"/>
          </rPr>
          <t xml:space="preserve">Miriam Galindo:
</t>
        </r>
        <r>
          <rPr>
            <sz val="8"/>
            <color rgb="FF000000"/>
            <rFont val="Tahoma"/>
            <family val="2"/>
            <charset val="1"/>
          </rPr>
          <t xml:space="preserve">FINCA S'ALQUERIA ANDRATX i C/ PEDRO SERIOL, 20 A</t>
        </r>
      </text>
    </comment>
    <comment ref="E16" authorId="0">
      <text>
        <r>
          <rPr>
            <b val="true"/>
            <sz val="8"/>
            <color rgb="FF000000"/>
            <rFont val="Tahoma"/>
            <family val="2"/>
            <charset val="1"/>
          </rPr>
          <t xml:space="preserve">Miriam Galindo:
</t>
        </r>
        <r>
          <rPr>
            <sz val="8"/>
            <color rgb="FF000000"/>
            <rFont val="Tahoma"/>
            <family val="2"/>
            <charset val="1"/>
          </rPr>
          <t xml:space="preserve">entrada en funcionament de 4 fotovoltaiques al setembre del 2008</t>
        </r>
      </text>
    </comment>
    <comment ref="F10" authorId="0">
      <text>
        <r>
          <rPr>
            <b val="true"/>
            <sz val="8"/>
            <color rgb="FF000000"/>
            <rFont val="Tahoma"/>
            <family val="2"/>
            <charset val="1"/>
          </rPr>
          <t xml:space="preserve">Miriam Galindo:
</t>
        </r>
        <r>
          <rPr>
            <sz val="8"/>
            <color rgb="FF000000"/>
            <rFont val="Tahoma"/>
            <family val="2"/>
            <charset val="1"/>
          </rPr>
          <t xml:space="preserve">FINCA S'ALQUERIA ANDRATX;  C/ PEDRO SERIOL 20 A; TOMEU BORRAS 1, 2 i 3; SEABREEZE INVEST</t>
        </r>
      </text>
    </comment>
  </commentList>
</comments>
</file>

<file path=xl/comments9.xml><?xml version="1.0" encoding="utf-8"?>
<comments xmlns="http://schemas.openxmlformats.org/spreadsheetml/2006/main" xmlns:xdr="http://schemas.openxmlformats.org/drawingml/2006/spreadsheetDrawing">
  <authors>
    <author/>
  </authors>
  <commentList>
    <comment ref="A15" authorId="0">
      <text>
        <r>
          <rPr>
            <b val="true"/>
            <sz val="8"/>
            <color rgb="FF000000"/>
            <rFont val="Tahoma"/>
            <family val="2"/>
            <charset val="1"/>
          </rPr>
          <t xml:space="preserve">Miriam Galindo:
</t>
        </r>
        <r>
          <rPr>
            <sz val="8"/>
            <color rgb="FF000000"/>
            <rFont val="Tahoma"/>
            <family val="2"/>
            <charset val="1"/>
          </rPr>
          <t xml:space="preserve">Pel càlcul emissions CO2 no es tenen en compte les tipologies "otros" i "papel/cartón" pq no es disposa de factor d'emissió</t>
        </r>
      </text>
    </comment>
    <comment ref="A28" authorId="0">
      <text>
        <r>
          <rPr>
            <b val="true"/>
            <sz val="8"/>
            <color rgb="FF000000"/>
            <rFont val="Tahoma"/>
            <family val="2"/>
            <charset val="1"/>
          </rPr>
          <t xml:space="preserve">Miriam Galindo:
</t>
        </r>
        <r>
          <rPr>
            <sz val="8"/>
            <color rgb="FF000000"/>
            <rFont val="Tahoma"/>
            <family val="2"/>
            <charset val="1"/>
          </rPr>
          <t xml:space="preserve">A Mallorca tot és incineració</t>
        </r>
      </text>
    </comment>
    <comment ref="G6" authorId="0">
      <text>
        <r>
          <rPr>
            <b val="true"/>
            <sz val="8"/>
            <color rgb="FF000000"/>
            <rFont val="Tahoma"/>
            <family val="2"/>
            <charset val="1"/>
          </rPr>
          <t xml:space="preserve">Miriam Galindo:
</t>
        </r>
        <r>
          <rPr>
            <sz val="8"/>
            <color rgb="FF000000"/>
            <rFont val="Tahoma"/>
            <family val="2"/>
            <charset val="1"/>
          </rPr>
          <t xml:space="preserve">Dades només fins el mes de juliol inclòs</t>
        </r>
      </text>
    </comment>
  </commentList>
</comments>
</file>

<file path=xl/sharedStrings.xml><?xml version="1.0" encoding="utf-8"?>
<sst xmlns="http://schemas.openxmlformats.org/spreadsheetml/2006/main" count="3026" uniqueCount="1071">
  <si>
    <t xml:space="preserve">INSTRUCCIONS:</t>
  </si>
  <si>
    <t xml:space="preserve">1- Les  pestanyes en verd són d'ENTRADA DE DADES</t>
  </si>
  <si>
    <t xml:space="preserve">1. Únicament s'han d'omplir les cel·les ressaltades en color verd</t>
  </si>
  <si>
    <t xml:space="preserve">2. Revisar casellas en color taronja</t>
  </si>
  <si>
    <r>
      <rPr>
        <b val="true"/>
        <sz val="18"/>
        <rFont val="Conduit ITC Light"/>
        <family val="0"/>
        <charset val="1"/>
      </rPr>
      <t xml:space="preserve">3. Si es fan estimacions ressaltar dades</t>
    </r>
    <r>
      <rPr>
        <b val="true"/>
        <sz val="18"/>
        <color rgb="FFFF0000"/>
        <rFont val="Conduit ITC Light"/>
        <family val="0"/>
        <charset val="1"/>
      </rPr>
      <t xml:space="preserve"> amb vermell</t>
    </r>
  </si>
  <si>
    <t xml:space="preserve">XXX</t>
  </si>
  <si>
    <t xml:space="preserve">4. Llegir comentaris existents en les diferents pestanyes</t>
  </si>
  <si>
    <t xml:space="preserve">0. DADES (MUNICIPI)</t>
  </si>
  <si>
    <t xml:space="preserve">1. EE (MUNICIPI)</t>
  </si>
  <si>
    <t xml:space="preserve">2. GN (MUNICIPI)</t>
  </si>
  <si>
    <t xml:space="preserve">3. GLP (MUNICIPI)</t>
  </si>
  <si>
    <t xml:space="preserve">4. CL (MUNICIPI)</t>
  </si>
  <si>
    <t xml:space="preserve">5. RENOVABLES (MUNICIPI)</t>
  </si>
  <si>
    <r>
      <rPr>
        <sz val="18"/>
        <rFont val="Conduit ITC Light"/>
        <family val="0"/>
        <charset val="1"/>
      </rPr>
      <t xml:space="preserve">6. RESIDUS </t>
    </r>
    <r>
      <rPr>
        <i val="true"/>
        <sz val="12"/>
        <color rgb="FFFF0000"/>
        <rFont val="Conduit ITC Light"/>
        <family val="0"/>
        <charset val="1"/>
      </rPr>
      <t xml:space="preserve">(Vigilar amb els FE en base a on van a parar els residus)</t>
    </r>
  </si>
  <si>
    <t xml:space="preserve">7. AIGUA</t>
  </si>
  <si>
    <t xml:space="preserve">8.  EQUIPAMENTS</t>
  </si>
  <si>
    <t xml:space="preserve">9. ENLLUMENAT</t>
  </si>
  <si>
    <t xml:space="preserve">10. VEHICLES PROPIS</t>
  </si>
  <si>
    <t xml:space="preserve">11. VEHICLES EXT.</t>
  </si>
  <si>
    <t xml:space="preserve">2- Les pestanyes en blau són CASELLES DE RESULTAT</t>
  </si>
  <si>
    <t xml:space="preserve">1. S'han d'omplir únicament les caselles ressaltades en color verd!</t>
  </si>
  <si>
    <t xml:space="preserve">2. S'han de llegir els comentaris!!!</t>
  </si>
  <si>
    <t xml:space="preserve">1. T. MUNICIPI</t>
  </si>
  <si>
    <t xml:space="preserve">2. T.PAES</t>
  </si>
  <si>
    <t xml:space="preserve">3. T.AJUNTAMENT</t>
  </si>
  <si>
    <t xml:space="preserve">4. T. RESUM  ÀMBIT PAES</t>
  </si>
  <si>
    <t xml:space="preserve">5. ENERGIES RENOVABLES</t>
  </si>
  <si>
    <t xml:space="preserve">6. PRODUCCIÓ ENERGÈTICA LOCAL</t>
  </si>
  <si>
    <t xml:space="preserve">7. PROJECCIÓ ESCENARIS </t>
  </si>
  <si>
    <t xml:space="preserve">8. PROGREMIC RESIDUS</t>
  </si>
  <si>
    <t xml:space="preserve">Pestanya</t>
  </si>
  <si>
    <t xml:space="preserve">Sector</t>
  </si>
  <si>
    <t xml:space="preserve">Font</t>
  </si>
  <si>
    <t xml:space="preserve">Càlcul</t>
  </si>
  <si>
    <t xml:space="preserve">Dades. Població</t>
  </si>
  <si>
    <t xml:space="preserve">Censada</t>
  </si>
  <si>
    <t xml:space="preserve">IBESTAT</t>
  </si>
  <si>
    <t xml:space="preserve">Flotant</t>
  </si>
  <si>
    <t xml:space="preserve">Ajuntament</t>
  </si>
  <si>
    <t xml:space="preserve">Real</t>
  </si>
  <si>
    <t xml:space="preserve">Càlcul de població mitjana considerant 5 mesos de població flotant + població censada i 7 mesos de censada.</t>
  </si>
  <si>
    <t xml:space="preserve">Energia elèctrica</t>
  </si>
  <si>
    <t xml:space="preserve">Domèstic</t>
  </si>
  <si>
    <t xml:space="preserve">Consum municipi sector domèstic: Agafem dada IBESTAT enlloc de calcular-la en base el pes del sector en el consum total de l'illa com a la resta de sectors. </t>
  </si>
  <si>
    <t xml:space="preserve">Transport</t>
  </si>
  <si>
    <t xml:space="preserve">No s'ha considerat aquest sector</t>
  </si>
  <si>
    <t xml:space="preserve">Resta sectors</t>
  </si>
  <si>
    <t xml:space="preserve">Anuari DGE, taula 2</t>
  </si>
  <si>
    <t xml:space="preserve">Estimació del consum municipal de cada sector en base el pes de cada sector en el consum total de l'illa.</t>
  </si>
  <si>
    <t xml:space="preserve">Serveis</t>
  </si>
  <si>
    <t xml:space="preserve">A fulla càlcul resultats, s'han sumat els consums de serveis i de serveis públics, tot i que a l'entrada de dades s'han mantingut per separat.</t>
  </si>
  <si>
    <t xml:space="preserve">GN</t>
  </si>
  <si>
    <t xml:space="preserve">Va arribar a les illes a finals del 2009.</t>
  </si>
  <si>
    <t xml:space="preserve">GLP</t>
  </si>
  <si>
    <t xml:space="preserve">Anuari DGE, taula 4</t>
  </si>
  <si>
    <t xml:space="preserve">No s'ha considerat el consum d'aquest sector.</t>
  </si>
  <si>
    <t xml:space="preserve">Industrial</t>
  </si>
  <si>
    <t xml:space="preserve">Ponderació segons la població.</t>
  </si>
  <si>
    <t xml:space="preserve">Estimació en base a la proporció de places turístiques del municipi respecte el total de l'illa</t>
  </si>
  <si>
    <t xml:space="preserve">Estimació en base a la proporció de població del municipi respecte el total de l'illa</t>
  </si>
  <si>
    <t xml:space="preserve">Combustibles líquids</t>
  </si>
  <si>
    <t xml:space="preserve">Domèstic: Consum gasoil C. Serveis: gasoil C i fueloil. Transport: gasoil A i benzina. Primari: gasoil B. Industrial: gasoil C i fueloil</t>
  </si>
  <si>
    <t xml:space="preserve">Consum CL calculats en base al consum de cada tipologia de CL a l'illa (taula 6 anuari DGE) i fent estimació segons:</t>
  </si>
  <si>
    <t xml:space="preserve">Anuari DGE, taula 7</t>
  </si>
  <si>
    <t xml:space="preserve">Gasoil A i gasolina. Ponderació en base a la proporció del nombre de vehicles del municipi respecte el total de l'illa (excepte tractors).</t>
  </si>
  <si>
    <t xml:space="preserve">Primari</t>
  </si>
  <si>
    <t xml:space="preserve">Gasoil B. Es pondera a partir el parc mòbil (tractors)</t>
  </si>
  <si>
    <t xml:space="preserve">Part de gasoil C i part de fuel-oil i es pondera a partir de la població.</t>
  </si>
  <si>
    <t xml:space="preserve">Part de gasoil C i fueloil. Ponderació en base a la proporció de places turístiques del municipi respecte el total de l'illa</t>
  </si>
  <si>
    <t xml:space="preserve">Part de gasoil C. Ponderació en base a la proporció de població del municipi respecte el total de l'illa</t>
  </si>
  <si>
    <t xml:space="preserve">Renovables</t>
  </si>
  <si>
    <t xml:space="preserve">Excel Energies Renovables</t>
  </si>
  <si>
    <t xml:space="preserve"> lv-project (projecte 110428). Carpeta "Documentació".</t>
  </si>
  <si>
    <t xml:space="preserve">Residus</t>
  </si>
  <si>
    <t xml:space="preserve">kg municipi</t>
  </si>
  <si>
    <t xml:space="preserve">Excels residus</t>
  </si>
  <si>
    <t xml:space="preserve"> lv-project (projecte 110428). Carpeta "Documentació"</t>
  </si>
  <si>
    <t xml:space="preserve">envasos</t>
  </si>
  <si>
    <t xml:space="preserve">ECOEMBES https://sistemas.ecoembes.com/Ecoembes.SGR.InformeACiudadanos.WebUI/IndiceInformes.aspx</t>
  </si>
  <si>
    <t xml:space="preserve">Per calcular les tones de cada tipologia d'envàs s'ha fet en base el percentatge de cada tipologia a nivell d'illa i calculant pel municipi.</t>
  </si>
  <si>
    <t xml:space="preserve">Vehicles</t>
  </si>
  <si>
    <t xml:space="preserve">Preus combustible</t>
  </si>
  <si>
    <t xml:space="preserve">Informe anual. Secretaría de energía (ministerio industria)  </t>
  </si>
  <si>
    <t xml:space="preserve">http://www.mityc.es/energia/petroleo/Precios/Informes/InformesAnuales/Paginas/InformesAnuales.aspx</t>
  </si>
  <si>
    <t xml:space="preserve">FONTS D'INFORMACIÓ</t>
  </si>
  <si>
    <t xml:space="preserve">Municipi</t>
  </si>
  <si>
    <t xml:space="preserve">-</t>
  </si>
  <si>
    <t xml:space="preserve">Andratx</t>
  </si>
  <si>
    <t xml:space="preserve">CP</t>
  </si>
  <si>
    <t xml:space="preserve">Illa</t>
  </si>
  <si>
    <t xml:space="preserve">Mallorca</t>
  </si>
  <si>
    <t xml:space="preserve">DADES GENERALS</t>
  </si>
  <si>
    <t xml:space="preserve">Anys d'anàlisi</t>
  </si>
  <si>
    <t xml:space="preserve">Sectors d'anàlisi</t>
  </si>
  <si>
    <t xml:space="preserve">Aigua </t>
  </si>
  <si>
    <t xml:space="preserve">Població censada</t>
  </si>
  <si>
    <t xml:space="preserve">IBESTAT </t>
  </si>
  <si>
    <t xml:space="preserve">Població flotant</t>
  </si>
  <si>
    <t xml:space="preserve">Població considerada</t>
  </si>
  <si>
    <t xml:space="preserve">Població Província</t>
  </si>
  <si>
    <t xml:space="preserve">Parc mòbil municipi</t>
  </si>
  <si>
    <t xml:space="preserve">turismes</t>
  </si>
  <si>
    <t xml:space="preserve">motocicletes</t>
  </si>
  <si>
    <t xml:space="preserve">autobusos</t>
  </si>
  <si>
    <t xml:space="preserve">camions i furgonetes</t>
  </si>
  <si>
    <t xml:space="preserve">tractors industrials </t>
  </si>
  <si>
    <t xml:space="preserve">altres</t>
  </si>
  <si>
    <t xml:space="preserve">Parc mòbil Illa</t>
  </si>
  <si>
    <t xml:space="preserve">Nombre de places turístiques municipi</t>
  </si>
  <si>
    <t xml:space="preserve">Observatori del turisme (indicadors)</t>
  </si>
  <si>
    <t xml:space="preserve">Nombre de places turístiques Illa</t>
  </si>
  <si>
    <t xml:space="preserve">Nombre d'establiments turístics municipi</t>
  </si>
  <si>
    <t xml:space="preserve">Nombre d'establiments turístics  Illa</t>
  </si>
  <si>
    <t xml:space="preserve">FACTORS D'EMISSIÓ</t>
  </si>
  <si>
    <t xml:space="preserve">t CO2/MWh</t>
  </si>
  <si>
    <t xml:space="preserve">DGE</t>
  </si>
  <si>
    <t xml:space="preserve">Gas natural</t>
  </si>
  <si>
    <t xml:space="preserve">Gasoil</t>
  </si>
  <si>
    <t xml:space="preserve">Gasolina</t>
  </si>
  <si>
    <t xml:space="preserve">Fueloil</t>
  </si>
  <si>
    <t xml:space="preserve">RESIDUS (t. CO2/1 t. RM)</t>
  </si>
  <si>
    <t xml:space="preserve">Abocament controlat (sense recuperació de biogàs)</t>
  </si>
  <si>
    <t xml:space="preserve">EINA INFORMÀTICA INVENTARI EMISSIONS BALEARS</t>
  </si>
  <si>
    <t xml:space="preserve">Abocament controlat 
(amb recuperació de biogàs)</t>
  </si>
  <si>
    <t xml:space="preserve">Incineració</t>
  </si>
  <si>
    <t xml:space="preserve">Compostatge</t>
  </si>
  <si>
    <t xml:space="preserve">Paper/cartró</t>
  </si>
  <si>
    <t xml:space="preserve">Vidre</t>
  </si>
  <si>
    <t xml:space="preserve">Envasos HDPE (tots colors)</t>
  </si>
  <si>
    <t xml:space="preserve">Envasos PET</t>
  </si>
  <si>
    <t xml:space="preserve">Envasos LDPE film</t>
  </si>
  <si>
    <t xml:space="preserve">Tetrabric</t>
  </si>
  <si>
    <t xml:space="preserve">Llaunes (alumini i acer)</t>
  </si>
  <si>
    <t xml:space="preserve">FACTORS DE CONVERSIÓ</t>
  </si>
  <si>
    <t xml:space="preserve">COMBUSTIBLES LÍQUIDS</t>
  </si>
  <si>
    <t xml:space="preserve">tona</t>
  </si>
  <si>
    <t xml:space="preserve">tep</t>
  </si>
  <si>
    <t xml:space="preserve">Fueloil (1 t)</t>
  </si>
  <si>
    <t xml:space="preserve">PAES DIBA</t>
  </si>
  <si>
    <t xml:space="preserve">MWh</t>
  </si>
  <si>
    <t xml:space="preserve">kWh</t>
  </si>
  <si>
    <t xml:space="preserve">litre</t>
  </si>
  <si>
    <t xml:space="preserve">Kwh PCI</t>
  </si>
  <si>
    <t xml:space="preserve">Gasoil A</t>
  </si>
  <si>
    <t xml:space="preserve">Gasoil B</t>
  </si>
  <si>
    <t xml:space="preserve">Gasoil C</t>
  </si>
  <si>
    <t xml:space="preserve">ENERGIA</t>
  </si>
  <si>
    <t xml:space="preserve">1m3 de gas natural</t>
  </si>
  <si>
    <t xml:space="preserve">DIBA</t>
  </si>
  <si>
    <t xml:space="preserve">1 termia de gas natural</t>
  </si>
  <si>
    <t xml:space="preserve">1 Kg de butà</t>
  </si>
  <si>
    <t xml:space="preserve">1 m3 biogas</t>
  </si>
  <si>
    <t xml:space="preserve">1 termia de biogas</t>
  </si>
  <si>
    <t xml:space="preserve">1 kg butà</t>
  </si>
  <si>
    <t xml:space="preserve">1 kg propà</t>
  </si>
  <si>
    <t xml:space="preserve">1 kg glp mescla</t>
  </si>
  <si>
    <t xml:space="preserve">ICAEN</t>
  </si>
  <si>
    <t xml:space="preserve">1 litre  gasoil-C </t>
  </si>
  <si>
    <t xml:space="preserve">1 kg carbó</t>
  </si>
  <si>
    <t xml:space="preserve">AIGUA (kWh/m3)</t>
  </si>
  <si>
    <t xml:space="preserve">ETAP</t>
  </si>
  <si>
    <t xml:space="preserve">EDAR amb tractament fisicoquímic (PRIMARI)</t>
  </si>
  <si>
    <t xml:space="preserve">EDAR tractament biològic amb TRACTAMENT TERCIARI</t>
  </si>
  <si>
    <t xml:space="preserve">EDAR tractament biològic amb eliminació de nitrogen</t>
  </si>
  <si>
    <t xml:space="preserve">EDAR tractament biològic de nitrogen i fòsfor</t>
  </si>
  <si>
    <t xml:space="preserve">EDAR amb tractament biològic (TRACTAMENT SECUNDARI)</t>
  </si>
  <si>
    <t xml:space="preserve">Resultats</t>
  </si>
  <si>
    <t xml:space="preserve">Entrada de dades</t>
  </si>
  <si>
    <t xml:space="preserve">Font </t>
  </si>
  <si>
    <t xml:space="preserve">Anuari d'Estadístiques energètiques DG d'Energia / IBESTAT</t>
  </si>
  <si>
    <t xml:space="preserve">DADES ESTIMADES O CONSTANTS</t>
  </si>
  <si>
    <t xml:space="preserve">consum municipi segons pes del sector en el consum illa</t>
  </si>
  <si>
    <t xml:space="preserve">CONSUM ENERGIA</t>
  </si>
  <si>
    <t xml:space="preserve">Unitats: MWh</t>
  </si>
  <si>
    <t xml:space="preserve">Serveis públics</t>
  </si>
  <si>
    <t xml:space="preserve">Total </t>
  </si>
  <si>
    <t xml:space="preserve">Total municipi</t>
  </si>
  <si>
    <t xml:space="preserve">Total PAES</t>
  </si>
  <si>
    <t xml:space="preserve">Comprovació total municipi</t>
  </si>
  <si>
    <t xml:space="preserve">Correcte?</t>
  </si>
  <si>
    <t xml:space="preserve">Extrapolació consum a partir del consum elèctric de Mallorca. Font: Estadístiques energètiques</t>
  </si>
  <si>
    <t xml:space="preserve">Consum elèctric Mallorca</t>
  </si>
  <si>
    <t xml:space="preserve">% repartició de l'energia</t>
  </si>
  <si>
    <t xml:space="preserve">EMISSIONS CO2</t>
  </si>
  <si>
    <t xml:space="preserve">Unitats: t CO2.</t>
  </si>
  <si>
    <t xml:space="preserve">Factor emissió EE</t>
  </si>
  <si>
    <t xml:space="preserve">Anuari d'Estadístiques energètiques DG d'Energia</t>
  </si>
  <si>
    <t xml:space="preserve">Factor emissió GN</t>
  </si>
  <si>
    <t xml:space="preserve">Si ho fem per població és més semblant a la repartició de l'illa.</t>
  </si>
  <si>
    <t xml:space="preserve">Extrapolació consum a partir del consum de GLP a Mallorca</t>
  </si>
  <si>
    <t xml:space="preserve">Consum GLP Mallorca</t>
  </si>
  <si>
    <t xml:space="preserve">Unitats: tm</t>
  </si>
  <si>
    <t xml:space="preserve">% repartició GLP per  sectors</t>
  </si>
  <si>
    <t xml:space="preserve">Total Illa</t>
  </si>
  <si>
    <t xml:space="preserve">proporció població municipi respecte població provincia</t>
  </si>
  <si>
    <t xml:space="preserve">proporció places turístiques municipi respecte total provincia</t>
  </si>
  <si>
    <t xml:space="preserve">proporció vivendes municipi respecte població provincia</t>
  </si>
  <si>
    <t xml:space="preserve">Factor emissió GLP</t>
  </si>
  <si>
    <t xml:space="preserve">CONSUM ENERGIA BENZINA</t>
  </si>
  <si>
    <t xml:space="preserve">Transport (benzina)</t>
  </si>
  <si>
    <t xml:space="preserve">CONSUM ENERGIA GASOIL</t>
  </si>
  <si>
    <t xml:space="preserve">Primari (gasoil B)</t>
  </si>
  <si>
    <t xml:space="preserve">Industrial (gasoil C)</t>
  </si>
  <si>
    <t xml:space="preserve">Serveis (gasoil C)</t>
  </si>
  <si>
    <t xml:space="preserve">Domèstic (gasoil C)</t>
  </si>
  <si>
    <t xml:space="preserve">Transport (gasoil A)</t>
  </si>
  <si>
    <t xml:space="preserve">CONSUM ENERGIA FUELOIL</t>
  </si>
  <si>
    <t xml:space="preserve">Transport </t>
  </si>
  <si>
    <t xml:space="preserve">Extrapolació consum a partir del consum de l'illa:</t>
  </si>
  <si>
    <t xml:space="preserve">Consum PPL Illa (taula7 Anuari)</t>
  </si>
  <si>
    <t xml:space="preserve">Unitats: Tep</t>
  </si>
  <si>
    <t xml:space="preserve">% repartició PPL per  sectors</t>
  </si>
  <si>
    <t xml:space="preserve">Transformació de l'energia</t>
  </si>
  <si>
    <t xml:space="preserve">proporció gasoil C (taula 7 DGE)</t>
  </si>
  <si>
    <t xml:space="preserve">serveis</t>
  </si>
  <si>
    <t xml:space="preserve">Venda productes petrolífers provincia (taula 6)</t>
  </si>
  <si>
    <t xml:space="preserve">Unitats: m3</t>
  </si>
  <si>
    <t xml:space="preserve">domèstic</t>
  </si>
  <si>
    <t xml:space="preserve">PPL</t>
  </si>
  <si>
    <t xml:space="preserve">industrial</t>
  </si>
  <si>
    <t xml:space="preserve">Benzina </t>
  </si>
  <si>
    <t xml:space="preserve">total</t>
  </si>
  <si>
    <t xml:space="preserve">PP (fueloil) (taula 7)</t>
  </si>
  <si>
    <t xml:space="preserve">proporció vehicles municipi respecte vehicle provincia (excepte tractors)</t>
  </si>
  <si>
    <t xml:space="preserve">Indústria</t>
  </si>
  <si>
    <t xml:space="preserve">proporció vehicles municipi respecte vehicle provincia  tractors)</t>
  </si>
  <si>
    <t xml:space="preserve">Proporció de consum de combustible pel sector transport a la illa</t>
  </si>
  <si>
    <t xml:space="preserve">proporció fueloil (taula 7 DGE)</t>
  </si>
  <si>
    <t xml:space="preserve">Benzina</t>
  </si>
  <si>
    <t xml:space="preserve">Factor emissió Gasoil</t>
  </si>
  <si>
    <t xml:space="preserve">Factor emissió Gasolina</t>
  </si>
  <si>
    <t xml:space="preserve">Factor emissió Fueloil</t>
  </si>
  <si>
    <t xml:space="preserve">benzina</t>
  </si>
  <si>
    <t xml:space="preserve">gasoil</t>
  </si>
  <si>
    <t xml:space="preserve">FUELOIL</t>
  </si>
  <si>
    <t xml:space="preserve">DG d'Energia</t>
  </si>
  <si>
    <t xml:space="preserve">MUNICPI</t>
  </si>
  <si>
    <t xml:space="preserve">Tipus d’energia renovable</t>
  </si>
  <si>
    <t xml:space="preserve">Paràmetre</t>
  </si>
  <si>
    <t xml:space="preserve">Instal·lacions fotovoltaiques</t>
  </si>
  <si>
    <t xml:space="preserve">Nº instal·lacions</t>
  </si>
  <si>
    <t xml:space="preserve">Potència instal·lada (kWp)</t>
  </si>
  <si>
    <t xml:space="preserve">Instal·lacions solars tèrmiques</t>
  </si>
  <si>
    <r>
      <rPr>
        <b val="true"/>
        <sz val="10"/>
        <rFont val="Conduit ITC Light"/>
        <family val="0"/>
        <charset val="1"/>
      </rPr>
      <t xml:space="preserve"> Superfície instal·lada (m</t>
    </r>
    <r>
      <rPr>
        <b val="true"/>
        <vertAlign val="superscript"/>
        <sz val="8"/>
        <rFont val="Conduit ITC Light"/>
        <family val="0"/>
        <charset val="1"/>
      </rPr>
      <t xml:space="preserve">2</t>
    </r>
    <r>
      <rPr>
        <b val="true"/>
        <sz val="8"/>
        <rFont val="Conduit ITC Light"/>
        <family val="0"/>
        <charset val="1"/>
      </rPr>
      <t xml:space="preserve">)</t>
    </r>
  </si>
  <si>
    <t xml:space="preserve">Fotovoltaica</t>
  </si>
  <si>
    <t xml:space="preserve">Hidràulica</t>
  </si>
  <si>
    <t xml:space="preserve">Tèrmica</t>
  </si>
  <si>
    <t xml:space="preserve">Altres</t>
  </si>
  <si>
    <t xml:space="preserve">t CO2</t>
  </si>
  <si>
    <t xml:space="preserve">PAES</t>
  </si>
  <si>
    <t xml:space="preserve">AJUNTAMENT</t>
  </si>
  <si>
    <t xml:space="preserve">Total ajuntament</t>
  </si>
  <si>
    <t xml:space="preserve">FE ( kgCO2/kWh)</t>
  </si>
  <si>
    <t xml:space="preserve">Electricitat</t>
  </si>
  <si>
    <t xml:space="preserve">Consell Insular de Mallorca (CIM) / Ajuntament / ECOEMBES</t>
  </si>
  <si>
    <t xml:space="preserve">GENERACIÓ RESIDUS</t>
  </si>
  <si>
    <t xml:space="preserve">Unitats: t. RM</t>
  </si>
  <si>
    <t xml:space="preserve">Estimació tones de cada tipologia d'envàs en el municipi segons dades de Mallorca</t>
  </si>
  <si>
    <t xml:space="preserve">Rebuig</t>
  </si>
  <si>
    <t xml:space="preserve">Fracció orgànica</t>
  </si>
  <si>
    <t xml:space="preserve">Paper-cartró</t>
  </si>
  <si>
    <t xml:space="preserve">Envasos</t>
  </si>
  <si>
    <t xml:space="preserve">kg envasos Mallorca</t>
  </si>
  <si>
    <t xml:space="preserve">% de cada tipologia d'envàs lleuger</t>
  </si>
  <si>
    <t xml:space="preserve">CARTON BEBIDAS/ALIMENTOS</t>
  </si>
  <si>
    <t xml:space="preserve">METALES --&gt; ACERO</t>
  </si>
  <si>
    <t xml:space="preserve">METALES --&gt; ALUMINIO</t>
  </si>
  <si>
    <t xml:space="preserve">PAPEL/CARTON</t>
  </si>
  <si>
    <t xml:space="preserve">PLASTICOS --&gt; HDPE</t>
  </si>
  <si>
    <t xml:space="preserve">PLASTICOS --&gt; LDPE</t>
  </si>
  <si>
    <t xml:space="preserve">PLASTICOS --&gt; OTROS</t>
  </si>
  <si>
    <t xml:space="preserve">PLASTICOS --&gt; PET</t>
  </si>
  <si>
    <t xml:space="preserve">Total</t>
  </si>
  <si>
    <t xml:space="preserve">Factor emissió per cada fracció</t>
  </si>
  <si>
    <t xml:space="preserve">CONSUM D'AIGUA POTABLE</t>
  </si>
  <si>
    <t xml:space="preserve">Aigua extreta</t>
  </si>
  <si>
    <t xml:space="preserve">Aigua facturada</t>
  </si>
  <si>
    <t xml:space="preserve">Pèrdues</t>
  </si>
  <si>
    <t xml:space="preserve">Pèrdues (%)</t>
  </si>
  <si>
    <t xml:space="preserve">No existeix potabilització</t>
  </si>
  <si>
    <t xml:space="preserve">kwh/m3</t>
  </si>
  <si>
    <t xml:space="preserve">Unitats: Mwh</t>
  </si>
  <si>
    <t xml:space="preserve">Consum d'aigua</t>
  </si>
  <si>
    <t xml:space="preserve">BOMBAMENT</t>
  </si>
  <si>
    <t xml:space="preserve">Consum en bombament</t>
  </si>
  <si>
    <t xml:space="preserve">AIGÜES RESIDUALS</t>
  </si>
  <si>
    <t xml:space="preserve">AIGUA</t>
  </si>
  <si>
    <t xml:space="preserve">Sector </t>
  </si>
  <si>
    <t xml:space="preserve">Total consum d'aigua</t>
  </si>
  <si>
    <t xml:space="preserve">Consum</t>
  </si>
  <si>
    <t xml:space="preserve">Bombament</t>
  </si>
  <si>
    <t xml:space="preserve">EDAR</t>
  </si>
  <si>
    <t xml:space="preserve">Total  </t>
  </si>
  <si>
    <t xml:space="preserve">FE</t>
  </si>
  <si>
    <t xml:space="preserve">Emisisons (tCO2)</t>
  </si>
  <si>
    <t xml:space="preserve">Increment</t>
  </si>
  <si>
    <t xml:space="preserve">Electricitat (núm. subministraments)</t>
  </si>
  <si>
    <t xml:space="preserve">Gas natural (núm. subministraments)</t>
  </si>
  <si>
    <t xml:space="preserve">GLP (núm. subministraments)</t>
  </si>
  <si>
    <t xml:space="preserve">Gas-oil (núm. subministraments)</t>
  </si>
  <si>
    <t xml:space="preserve">Total consum energètic (kWh)</t>
  </si>
  <si>
    <t xml:space="preserve">Total cost energètic (€)</t>
  </si>
  <si>
    <t xml:space="preserve">€/kWh mitjà</t>
  </si>
  <si>
    <t xml:space="preserve">Nombre equipaments</t>
  </si>
  <si>
    <t xml:space="preserve">Administratiu</t>
  </si>
  <si>
    <t xml:space="preserve">Educatiu</t>
  </si>
  <si>
    <t xml:space="preserve">Esportiu amb piscina</t>
  </si>
  <si>
    <t xml:space="preserve">Esportiu sense piscina</t>
  </si>
  <si>
    <t xml:space="preserve">gas natural m3</t>
  </si>
  <si>
    <t xml:space="preserve">gasoil litres</t>
  </si>
  <si>
    <t xml:space="preserve">GLP en litres</t>
  </si>
  <si>
    <t xml:space="preserve">Sociocultural</t>
  </si>
  <si>
    <t xml:space="preserve">RATIS ENERGÈTICS 2005</t>
  </si>
  <si>
    <t xml:space="preserve">RATIS ENERGÈTICS 2007</t>
  </si>
  <si>
    <t xml:space="preserve">RATIS ENERGÈTICS 2009</t>
  </si>
  <si>
    <t xml:space="preserve">Nom equipament</t>
  </si>
  <si>
    <t xml:space="preserve">Consum/sup (kWh/m2)</t>
  </si>
  <si>
    <t xml:space="preserve">Consum/usuari (KWh/m2)</t>
  </si>
  <si>
    <t xml:space="preserve">Promig</t>
  </si>
  <si>
    <t xml:space="preserve">Segurament són amb iva</t>
  </si>
  <si>
    <t xml:space="preserve">o</t>
  </si>
  <si>
    <t xml:space="preserve">CONSUM (kWh/any)</t>
  </si>
  <si>
    <t xml:space="preserve">COSTOS (€/any)</t>
  </si>
  <si>
    <t xml:space="preserve">Consum total Electricitat+glp+cñ</t>
  </si>
  <si>
    <t xml:space="preserve">Tipologia</t>
  </si>
  <si>
    <t xml:space="preserve">Centre VAE</t>
  </si>
  <si>
    <t xml:space="preserve">Superfície</t>
  </si>
  <si>
    <t xml:space="preserve">Usuaris/ocupants</t>
  </si>
  <si>
    <t xml:space="preserve">Pòlisses</t>
  </si>
  <si>
    <t xml:space="preserve">Pot. Contractada</t>
  </si>
  <si>
    <t xml:space="preserve">Ajuntament Andratx</t>
  </si>
  <si>
    <t xml:space="preserve">si</t>
  </si>
  <si>
    <t xml:space="preserve">GZZ0571144001</t>
  </si>
  <si>
    <t xml:space="preserve">Poliesportiu municipal Es vinyet</t>
  </si>
  <si>
    <t xml:space="preserve">GZZ0187924001</t>
  </si>
  <si>
    <t xml:space="preserve">Camp municipal Sa Plana</t>
  </si>
  <si>
    <t xml:space="preserve">GZZ0191090001</t>
  </si>
  <si>
    <t xml:space="preserve">Cementiri s'Arracó</t>
  </si>
  <si>
    <t xml:space="preserve">GZZ0191976001</t>
  </si>
  <si>
    <t xml:space="preserve">Col·legi</t>
  </si>
  <si>
    <t xml:space="preserve">GZZ0508705001</t>
  </si>
  <si>
    <t xml:space="preserve">Palau d'esports</t>
  </si>
  <si>
    <t xml:space="preserve">GZZ0543453001</t>
  </si>
  <si>
    <t xml:space="preserve">Escola de música</t>
  </si>
  <si>
    <t xml:space="preserve">GZZ0568978001</t>
  </si>
  <si>
    <t xml:space="preserve">Cementeri municipal Andratx</t>
  </si>
  <si>
    <t xml:space="preserve">GZZ0577099001</t>
  </si>
  <si>
    <t xml:space="preserve">Parc verd</t>
  </si>
  <si>
    <t xml:space="preserve">GZZ0594781001</t>
  </si>
  <si>
    <t xml:space="preserve">Biblioteca </t>
  </si>
  <si>
    <t xml:space="preserve">GZZ0188622001</t>
  </si>
  <si>
    <t xml:space="preserve">Local cultural</t>
  </si>
  <si>
    <t xml:space="preserve">GZZ0187633001</t>
  </si>
  <si>
    <t xml:space="preserve">Centre de dia</t>
  </si>
  <si>
    <t xml:space="preserve">GZZ0187728002</t>
  </si>
  <si>
    <t xml:space="preserve">Oficines</t>
  </si>
  <si>
    <t xml:space="preserve">GZZ0188623001</t>
  </si>
  <si>
    <t xml:space="preserve">Cultural</t>
  </si>
  <si>
    <t xml:space="preserve">GZZ0187157001</t>
  </si>
  <si>
    <t xml:space="preserve">Teatre municipal</t>
  </si>
  <si>
    <t xml:space="preserve">GZZ0190107001</t>
  </si>
  <si>
    <t xml:space="preserve">Escoleta municipal</t>
  </si>
  <si>
    <t xml:space="preserve">GZZ0548407001</t>
  </si>
  <si>
    <t xml:space="preserve">Residencial</t>
  </si>
  <si>
    <t xml:space="preserve">GZZ0188047001</t>
  </si>
  <si>
    <t xml:space="preserve">Camp municipal s'Arracó</t>
  </si>
  <si>
    <t xml:space="preserve">GZZ0190645001</t>
  </si>
  <si>
    <t xml:space="preserve">local comercial</t>
  </si>
  <si>
    <t xml:space="preserve">GZZ0187881001</t>
  </si>
  <si>
    <t xml:space="preserve">Casa cultural i assistencial</t>
  </si>
  <si>
    <t xml:space="preserve">GZZ0188633001</t>
  </si>
  <si>
    <t xml:space="preserve">Centre de salut</t>
  </si>
  <si>
    <t xml:space="preserve">GZZ0187982001</t>
  </si>
  <si>
    <t xml:space="preserve">Institut Baltasar Porcel</t>
  </si>
  <si>
    <t xml:space="preserve">GZZ0191848001</t>
  </si>
  <si>
    <t xml:space="preserve">Escola Ses Bassetes</t>
  </si>
  <si>
    <t xml:space="preserve">GZZ0188223001</t>
  </si>
  <si>
    <t xml:space="preserve">GZZ0188221001</t>
  </si>
  <si>
    <t xml:space="preserve">Local gent gran</t>
  </si>
  <si>
    <t xml:space="preserve">GZZ0189414001</t>
  </si>
  <si>
    <t xml:space="preserve">GAS NATURAL</t>
  </si>
  <si>
    <t xml:space="preserve">GLP kWh</t>
  </si>
  <si>
    <t xml:space="preserve">CONSUM (m3/any)</t>
  </si>
  <si>
    <t xml:space="preserve">GAS-OIL</t>
  </si>
  <si>
    <t xml:space="preserve">gasoil kWh</t>
  </si>
  <si>
    <t xml:space="preserve">Total en kWh 2004</t>
  </si>
  <si>
    <t xml:space="preserve">Total en kWh 2005</t>
  </si>
  <si>
    <t xml:space="preserve">Total en kWh 2006</t>
  </si>
  <si>
    <t xml:space="preserve">Total en kWh 2007</t>
  </si>
  <si>
    <t xml:space="preserve">Total en kWh 2008</t>
  </si>
  <si>
    <t xml:space="preserve">% respectius 2008</t>
  </si>
  <si>
    <t xml:space="preserve">CONSUM (l/any)</t>
  </si>
  <si>
    <t xml:space="preserve">CONSUM (KwH/any)</t>
  </si>
  <si>
    <t xml:space="preserve">CONSUM (kg/any)</t>
  </si>
  <si>
    <t xml:space="preserve">electricitat</t>
  </si>
  <si>
    <t xml:space="preserve">TOTAL</t>
  </si>
  <si>
    <t xml:space="preserve">TOTAL (kWh)</t>
  </si>
  <si>
    <t xml:space="preserve">TOTAL (MWh)</t>
  </si>
  <si>
    <t xml:space="preserve">FE (t.CO2/MWh)</t>
  </si>
  <si>
    <t xml:space="preserve">electricitat (t. CO2)</t>
  </si>
  <si>
    <t xml:space="preserve">gasoil (t. CO2)</t>
  </si>
  <si>
    <t xml:space="preserve">GLP (t. CO2)</t>
  </si>
  <si>
    <t xml:space="preserve">Població</t>
  </si>
  <si>
    <t xml:space="preserve">ENLLUMENAT PÚBLIC</t>
  </si>
  <si>
    <t xml:space="preserve">Nombre de punts de llum</t>
  </si>
  <si>
    <t xml:space="preserve">Nombre de quadres</t>
  </si>
  <si>
    <t xml:space="preserve">Total consum energètica (kWh) sense semàfors</t>
  </si>
  <si>
    <t xml:space="preserve">Cèl·lula</t>
  </si>
  <si>
    <t xml:space="preserve">Rellotge astronòmic</t>
  </si>
  <si>
    <t xml:space="preserve">Rellotge horari</t>
  </si>
  <si>
    <t xml:space="preserve">Punt de llum/habitant</t>
  </si>
  <si>
    <t xml:space="preserve">Consum /habitant</t>
  </si>
  <si>
    <t xml:space="preserve">ELECTRICITAT</t>
  </si>
  <si>
    <t xml:space="preserve">NOM</t>
  </si>
  <si>
    <t xml:space="preserve">PÒLISSA</t>
  </si>
  <si>
    <t xml:space="preserve">DIRECCIÓ</t>
  </si>
  <si>
    <t xml:space="preserve">POTÈNCIA CONTRACTADA</t>
  </si>
  <si>
    <t xml:space="preserve">Regulació de flux</t>
  </si>
  <si>
    <t xml:space="preserve">Tipus encesa</t>
  </si>
  <si>
    <t xml:space="preserve">GZZ0541230001</t>
  </si>
  <si>
    <t xml:space="preserve">GALICIA, CAMI VINYET, ANDRATX, 07150</t>
  </si>
  <si>
    <t xml:space="preserve">no</t>
  </si>
  <si>
    <t xml:space="preserve">rellotge astronòmic</t>
  </si>
  <si>
    <t xml:space="preserve">GZZ0643144001</t>
  </si>
  <si>
    <t xml:space="preserve">SON PRIM, ALUMBRADO PUBLICO FRTE.Nº 3, ANDRATX, 07</t>
  </si>
  <si>
    <t xml:space="preserve">GZZ0541432001</t>
  </si>
  <si>
    <t xml:space="preserve">SON MAS, SON MUS C710, ANDRATX, 07150</t>
  </si>
  <si>
    <t xml:space="preserve">GZZ0548145001</t>
  </si>
  <si>
    <t xml:space="preserve">TRAV.SA TANQUETA, ESQUINA BISCAIA-ALDO, ANDRATX, 0</t>
  </si>
  <si>
    <t xml:space="preserve">GZZ0548147001</t>
  </si>
  <si>
    <t xml:space="preserve">METGE D. GASPAR PUJOL 44, FTE.R.LLUL, ANDRATX, 071</t>
  </si>
  <si>
    <t xml:space="preserve">GZZ0189541001</t>
  </si>
  <si>
    <t xml:space="preserve">SON ESTEVA, ANDRATX, 07150</t>
  </si>
  <si>
    <t xml:space="preserve">GZZ0187797001</t>
  </si>
  <si>
    <t xml:space="preserve">CUBA, ANDRATX, 07150</t>
  </si>
  <si>
    <t xml:space="preserve">GZZ0189344002</t>
  </si>
  <si>
    <t xml:space="preserve">JOSE ENSEÑAT, ESQUINA BISCAIA, ANDRATX, 07150</t>
  </si>
  <si>
    <t xml:space="preserve">GZZ0190135001</t>
  </si>
  <si>
    <t xml:space="preserve">METGE D. GASPAR PUJOL 201, ANDRATX, 07150</t>
  </si>
  <si>
    <t xml:space="preserve">GZZ0548146001</t>
  </si>
  <si>
    <t xml:space="preserve">ANDALUCIA, ESQUINA GALICIA-ALDO, ANDRATX, 07150</t>
  </si>
  <si>
    <t xml:space="preserve">Port d'Andratx</t>
  </si>
  <si>
    <t xml:space="preserve">GZZ0555609001</t>
  </si>
  <si>
    <t xml:space="preserve">CALA D'EGOS, HOTEL AL.PUB, PORT D'ANDRATX, 07157</t>
  </si>
  <si>
    <t xml:space="preserve">GZZ0188308002</t>
  </si>
  <si>
    <t xml:space="preserve">ISAAC PERAL 75, PORT D'ANDRATX, 07157</t>
  </si>
  <si>
    <t xml:space="preserve">GZZ0570213001</t>
  </si>
  <si>
    <t xml:space="preserve">CN SANT CARLES 29, AP JTO.ET 4917, PORT D'ANDRATX,</t>
  </si>
  <si>
    <t xml:space="preserve">GZZ0188473001</t>
  </si>
  <si>
    <t xml:space="preserve">MATEO BOSCH, DIQUE INTERI, PORT D'ANDRATX, 07157</t>
  </si>
  <si>
    <t xml:space="preserve">GZZ0188474001</t>
  </si>
  <si>
    <t xml:space="preserve">GZZ0566100001</t>
  </si>
  <si>
    <t xml:space="preserve">SALUET, ALDO.PUBLICO, PORT D'ANDRATX, 07157</t>
  </si>
  <si>
    <t xml:space="preserve">GZZ0187223001</t>
  </si>
  <si>
    <t xml:space="preserve">ALMUDAINA, PORT D'ANDRATX, 07157</t>
  </si>
  <si>
    <t xml:space="preserve">GZZ0188102001</t>
  </si>
  <si>
    <t xml:space="preserve">AV GABRIEL ROCA, PORT D'ANDRATX, 07157</t>
  </si>
  <si>
    <t xml:space="preserve">GZZ0584878001</t>
  </si>
  <si>
    <t xml:space="preserve">MUSSOLA, AP ESQ. TONYINA, PORT D'ANDRATX, 07157</t>
  </si>
  <si>
    <t xml:space="preserve">S'Arracó</t>
  </si>
  <si>
    <t xml:space="preserve">GZZ0189193001</t>
  </si>
  <si>
    <t xml:space="preserve">WEYLER, S'ARRACO, 07159</t>
  </si>
  <si>
    <t xml:space="preserve">GZZ0191895001</t>
  </si>
  <si>
    <t xml:space="preserve">CAMI DE SON TIO, E.T.CAN VELL, S'ARRACO, 07159</t>
  </si>
  <si>
    <t xml:space="preserve">GZZ0189693001</t>
  </si>
  <si>
    <t xml:space="preserve">SA TENASSA 1, S'ARRACO, 07159</t>
  </si>
  <si>
    <t xml:space="preserve">GZZ0187394001</t>
  </si>
  <si>
    <t xml:space="preserve">ATAJO, DEL, S'ARRACO, 07159</t>
  </si>
  <si>
    <t xml:space="preserve">San Telmo</t>
  </si>
  <si>
    <t xml:space="preserve">GZZ0190524001</t>
  </si>
  <si>
    <t xml:space="preserve">XALOC, SANT ELM, 07159</t>
  </si>
  <si>
    <t xml:space="preserve">GZZ0560048001</t>
  </si>
  <si>
    <t xml:space="preserve">JAUME I, JUNTO ET PANTALEU, SANT ELM, 07159</t>
  </si>
  <si>
    <t xml:space="preserve">GZZ0190463001</t>
  </si>
  <si>
    <t xml:space="preserve">MALEIA, SANT ELM, 07159</t>
  </si>
  <si>
    <t xml:space="preserve">GZZ0190568001</t>
  </si>
  <si>
    <t xml:space="preserve">CALA ES CONILLS 7, ALUMBRADO PUBLICO, SANT ELM, 07</t>
  </si>
  <si>
    <t xml:space="preserve">GZZ0549545001</t>
  </si>
  <si>
    <t xml:space="preserve">TRAPA, ALDO. PCO., SANT ELM, 07159</t>
  </si>
  <si>
    <t xml:space="preserve">GZZ0188407001</t>
  </si>
  <si>
    <t xml:space="preserve">LARACHE 26, POZO SON JOF, ANDRATX, 07150</t>
  </si>
  <si>
    <t xml:space="preserve">PUNT DE LLUM</t>
  </si>
  <si>
    <t xml:space="preserve">QUADRE ASSOCIAT</t>
  </si>
  <si>
    <t xml:space="preserve">TIPUS LÀMPADA</t>
  </si>
  <si>
    <t xml:space="preserve">POTÈNCIA INSTAL·LADA (Kw)</t>
  </si>
  <si>
    <t xml:space="preserve">SEMÀFORS</t>
  </si>
  <si>
    <t xml:space="preserve">Unitats semafòriques</t>
  </si>
  <si>
    <t xml:space="preserve">Potència instal·lada W</t>
  </si>
  <si>
    <t xml:space="preserve">Règim de funcionament</t>
  </si>
  <si>
    <t xml:space="preserve">Consum total kWh</t>
  </si>
  <si>
    <t xml:space="preserve">Peatons</t>
  </si>
  <si>
    <t xml:space="preserve">Senyalització</t>
  </si>
  <si>
    <t xml:space="preserve">Nombre de vehicles</t>
  </si>
  <si>
    <t xml:space="preserve">Preu combustible</t>
  </si>
  <si>
    <t xml:space="preserve">GASOIL</t>
  </si>
  <si>
    <t xml:space="preserve">MARCA I MODEL VEHICLE</t>
  </si>
  <si>
    <t xml:space="preserve">DEPARTAMENT</t>
  </si>
  <si>
    <t xml:space="preserve">TIPUS COMBUSTIBLE</t>
  </si>
  <si>
    <t xml:space="preserve">Citroën Xsara Picasso</t>
  </si>
  <si>
    <t xml:space="preserve">Policía Local</t>
  </si>
  <si>
    <t xml:space="preserve">Peugeot 306</t>
  </si>
  <si>
    <t xml:space="preserve">Peugeot 307</t>
  </si>
  <si>
    <t xml:space="preserve">Renault Megane</t>
  </si>
  <si>
    <t xml:space="preserve">Ford Transit</t>
  </si>
  <si>
    <t xml:space="preserve">Brigada Obras</t>
  </si>
  <si>
    <t xml:space="preserve">Peugeot</t>
  </si>
  <si>
    <t xml:space="preserve">Mitsubischi</t>
  </si>
  <si>
    <t xml:space="preserve">Fiat</t>
  </si>
  <si>
    <t xml:space="preserve">Servicios Sociales</t>
  </si>
  <si>
    <t xml:space="preserve">Renault</t>
  </si>
  <si>
    <t xml:space="preserve">Renault Master</t>
  </si>
  <si>
    <t xml:space="preserve">Palau</t>
  </si>
  <si>
    <t xml:space="preserve">Renault Kangoo</t>
  </si>
  <si>
    <t xml:space="preserve">Electricistas</t>
  </si>
  <si>
    <t xml:space="preserve">Nissan Terrano</t>
  </si>
  <si>
    <t xml:space="preserve">IVECO</t>
  </si>
  <si>
    <t xml:space="preserve">Medio Ambiente</t>
  </si>
  <si>
    <t xml:space="preserve">Renault Expres</t>
  </si>
  <si>
    <t xml:space="preserve">Parques y Jardines</t>
  </si>
  <si>
    <t xml:space="preserve">Ford Courrier</t>
  </si>
  <si>
    <t xml:space="preserve">Ford Fiesta</t>
  </si>
  <si>
    <t xml:space="preserve">Notificador</t>
  </si>
  <si>
    <t xml:space="preserve">Protección Civil</t>
  </si>
  <si>
    <t xml:space="preserve">Nissan PincK-Up</t>
  </si>
  <si>
    <t xml:space="preserve">CONSUM (Kwh/any)</t>
  </si>
  <si>
    <t xml:space="preserve">GASOLINA</t>
  </si>
  <si>
    <t xml:space="preserve">Motocicleta Honda FES 150</t>
  </si>
  <si>
    <t xml:space="preserve">Motocicleta Honda RD11</t>
  </si>
  <si>
    <t xml:space="preserve">Motocicleta Honda RC52</t>
  </si>
  <si>
    <t xml:space="preserve">Suzuki</t>
  </si>
  <si>
    <t xml:space="preserve">Citroën  Jumper camión</t>
  </si>
  <si>
    <t xml:space="preserve">Consum tones CO2/any</t>
  </si>
  <si>
    <t xml:space="preserve">Preu combustible (euros/litre)</t>
  </si>
  <si>
    <t xml:space="preserve">Barredora 1</t>
  </si>
  <si>
    <t xml:space="preserve">Recollida residus</t>
  </si>
  <si>
    <t xml:space="preserve">Barredora 2</t>
  </si>
  <si>
    <t xml:space="preserve">Camió recolector 1</t>
  </si>
  <si>
    <t xml:space="preserve">Camió recolector 2</t>
  </si>
  <si>
    <t xml:space="preserve">Camió recolector 3</t>
  </si>
  <si>
    <t xml:space="preserve">Furgoneta 1</t>
  </si>
  <si>
    <t xml:space="preserve">Furgoneta 2</t>
  </si>
  <si>
    <t xml:space="preserve">Escenari Tendencial o BaU</t>
  </si>
  <si>
    <t xml:space="preserve">Increment anual segons tendència 05-09 competència ajuntament</t>
  </si>
  <si>
    <t xml:space="preserve">Escenari PAES (-20%)</t>
  </si>
  <si>
    <t xml:space="preserve">Reducció prevista 2010-2020</t>
  </si>
  <si>
    <t xml:space="preserve">% reducció emissions que preveiem durant 2009-2012 respecte total 2009-2020</t>
  </si>
  <si>
    <t xml:space="preserve">% reducció emissions que preveiem durant 2013-2015 respecte total 2009-2020</t>
  </si>
  <si>
    <t xml:space="preserve">% reducció emissions que preveiem durant 2016-2020 respecte total 2009-2020</t>
  </si>
  <si>
    <t xml:space="preserve">Increment anual  2009-2012</t>
  </si>
  <si>
    <t xml:space="preserve">% anual de reducció 2009-2012</t>
  </si>
  <si>
    <t xml:space="preserve">Increment anual  2013-2015</t>
  </si>
  <si>
    <t xml:space="preserve">% anual de reducció 2013-2015</t>
  </si>
  <si>
    <t xml:space="preserve">Increment anual  2016-2020</t>
  </si>
  <si>
    <t xml:space="preserve">% anual de reducció 2016-2020</t>
  </si>
  <si>
    <t xml:space="preserve">PAES Accions Ajuntament</t>
  </si>
  <si>
    <t xml:space="preserve">Emissions estalviades accions directes</t>
  </si>
  <si>
    <t xml:space="preserve">Increment anual emissions segons pla</t>
  </si>
  <si>
    <t xml:space="preserve">PAES Accions Indirectes</t>
  </si>
  <si>
    <t xml:space="preserve">Emissions estalviades accions indirectes</t>
  </si>
  <si>
    <t xml:space="preserve">PAES Total</t>
  </si>
  <si>
    <t xml:space="preserve">Emissions estalvidades accions indirectes més directes</t>
  </si>
  <si>
    <t xml:space="preserve">Increment anual segons totalitat Pla</t>
  </si>
  <si>
    <t xml:space="preserve">Dades a incorporar en el text del document</t>
  </si>
  <si>
    <t xml:space="preserve">% emissions àmbit PAES respecte total municipi</t>
  </si>
  <si>
    <t xml:space="preserve">Emissions base l'any 2005 (tCO2)</t>
  </si>
  <si>
    <t xml:space="preserve">Reducció d'emissions GEH del 20% 2005-2020 (tCO2)</t>
  </si>
  <si>
    <t xml:space="preserve">Emissions teòriques 2020 amb aplicació de les mesures del PAES (tCO2)</t>
  </si>
  <si>
    <t xml:space="preserve">Reducció emissions per càpita respecte l'any 2005  (tCO2)</t>
  </si>
  <si>
    <t xml:space="preserve">Valor objectiu emissions per càpita any 2020  (tCO2)</t>
  </si>
  <si>
    <t xml:space="preserve">% anual de reducció 2005-2020 escenari Tendencial o BaU</t>
  </si>
  <si>
    <t xml:space="preserve">% anual de reducció 2009-2012 escenari PAES</t>
  </si>
  <si>
    <t xml:space="preserve">% anual de reducció 2013-2015 escenari PAES</t>
  </si>
  <si>
    <t xml:space="preserve">% anual de reducció 2016-2020 escenari PAES</t>
  </si>
  <si>
    <t xml:space="preserve">Taxa de reducció anual promig període 2009-2020</t>
  </si>
  <si>
    <t xml:space="preserve">Emissions teòriques 2020 amb l'escenari tendencial (tCO2)</t>
  </si>
  <si>
    <t xml:space="preserve">Diferència resepcte objectiu sense aplicar PAES (tCO2)</t>
  </si>
  <si>
    <t xml:space="preserve">Instruccions:</t>
  </si>
  <si>
    <t xml:space="preserve">Cal enganxar totes les taules i gràfiques a través de "pegado especial" / Imagen (metarchivo mejorado).</t>
  </si>
  <si>
    <t xml:space="preserve">A l'insertar una taula cal ocultar les files que no tenen resultat (=0).</t>
  </si>
  <si>
    <t xml:space="preserve">Cal esborrar de la llegenda aquells camps que no consten a la gràfica.</t>
  </si>
  <si>
    <t xml:space="preserve">Gasoilina</t>
  </si>
  <si>
    <t xml:space="preserve">Taula 1. Població del municipi</t>
  </si>
  <si>
    <t xml:space="preserve">Variació 05-09</t>
  </si>
  <si>
    <t xml:space="preserve">Gràfica 1. Evolució del consum d'energia del municipi </t>
  </si>
  <si>
    <t xml:space="preserve">Gràfica 2. Evolució del consum d'energia del municipi per fonts</t>
  </si>
  <si>
    <t xml:space="preserve">Taula 3. Evolució del consum d'energia  del municipi per fonts (Mwh)</t>
  </si>
  <si>
    <t xml:space="preserve">Gràfica 3. Distribució del consum energètic per fonts dels anys 2005 i 2009</t>
  </si>
  <si>
    <t xml:space="preserve">FONTS</t>
  </si>
  <si>
    <t xml:space="preserve">EE</t>
  </si>
  <si>
    <t xml:space="preserve">Prod. Energia (PE)</t>
  </si>
  <si>
    <t xml:space="preserve">Total amb PE</t>
  </si>
  <si>
    <t xml:space="preserve">Nota: Al consum elèctric se li ha de sumar el consum elèctric del vector aigua de les instal·lacions de fora del municipi.</t>
  </si>
  <si>
    <t xml:space="preserve">Taula 4. Evolució de les emissions de CO2 del municipi per fonts (tones)</t>
  </si>
  <si>
    <t xml:space="preserve">Gràfica 4. Evolució de les emissions de CO2 del municipi </t>
  </si>
  <si>
    <t xml:space="preserve">Gràfica 5. Evolució de les emissions de CO2 del municipi per fonts</t>
  </si>
  <si>
    <t xml:space="preserve">Gràfica 6. Distribució de les emissions de CO2 per fonts dels anys 2005 i 2009</t>
  </si>
  <si>
    <t xml:space="preserve">Prod. energia</t>
  </si>
  <si>
    <t xml:space="preserve">Nota: Al consum elèctric se li ha de sumar les emissions del vector aigua de les instal·lacions de fora del municipi.</t>
  </si>
  <si>
    <t xml:space="preserve">Taula 5. Evolució del consum d'energia del municipi per sectors (Mwh)</t>
  </si>
  <si>
    <t xml:space="preserve">Gràfica 7. Evolució del consum d'energia del municipi </t>
  </si>
  <si>
    <t xml:space="preserve">Gràfica  8. Evolució del consum d'energia del municipi per sectors</t>
  </si>
  <si>
    <t xml:space="preserve">Gràfica 9. Distribució del consum energètic per sectors dels anys 2005 i 2009</t>
  </si>
  <si>
    <t xml:space="preserve">SECTORS</t>
  </si>
  <si>
    <t xml:space="preserve">Aigua</t>
  </si>
  <si>
    <t xml:space="preserve">comprovacio</t>
  </si>
  <si>
    <t xml:space="preserve">Taula 6. Evolució de les emissions de CO2 del municipi per sectors (tones)</t>
  </si>
  <si>
    <t xml:space="preserve">Gràfica  11. Evolució de les emissions de CO2 del municipi per sectors</t>
  </si>
  <si>
    <t xml:space="preserve">Gràfica 12. Distribució de les emissions de CO2 per sectors dels anys 2005 i 2009</t>
  </si>
  <si>
    <t xml:space="preserve">Gràfica  10. Evolució de les emissions de CO2 del municipi </t>
  </si>
  <si>
    <t xml:space="preserve">comprovació</t>
  </si>
  <si>
    <t xml:space="preserve">Taula 7. Evolució del consum d'energia  del sector primari per fonts (Mwh)</t>
  </si>
  <si>
    <t xml:space="preserve">Gràfica 14. Distribució del consum energètic del sector primari dels anys 2005 i 2009</t>
  </si>
  <si>
    <t xml:space="preserve">Gràfica  13. Evolució del consum d'energia  del sector primari per fonts</t>
  </si>
  <si>
    <t xml:space="preserve">Taula 8. Evolució de les emissions de CO2 del sector primari per fonts (tones)</t>
  </si>
  <si>
    <t xml:space="preserve">Gràfica 15. Evolució de les emissions de CO2 del sector primari per fonts</t>
  </si>
  <si>
    <t xml:space="preserve">Gràfica 16. Distribució de les emissions de CO2 del sector primari dels anys 2005 i 2009</t>
  </si>
  <si>
    <t xml:space="preserve">Gràfica 18. Distribució del consum energètic del sector industrial dels anys 2005 i 2009</t>
  </si>
  <si>
    <t xml:space="preserve">Gràfica 17. Evolució del consum d'energia  del sector industrial per fonts</t>
  </si>
  <si>
    <t xml:space="preserve">Taula 9. Evolució del consum d'energia  del sector industrial per fonts (Mwh)</t>
  </si>
  <si>
    <t xml:space="preserve">Taula 10. Evolució de les emissions de CO2 del sector industrial per fonts (tones)</t>
  </si>
  <si>
    <t xml:space="preserve">Gràfica 20. Distribució de les emissions de CO2 del sector industrial dels anys 2005 i 2009</t>
  </si>
  <si>
    <t xml:space="preserve">Gràfica ***. Evolució de la intensitat energètica del municipi</t>
  </si>
  <si>
    <t xml:space="preserve">Per PAES Balears no utilitzar aquesta taula següent</t>
  </si>
  <si>
    <t xml:space="preserve">Taula ***. Evolució de la intensitat energètica del municipi</t>
  </si>
  <si>
    <t xml:space="preserve">INTENSITAT ENERGÈTICA</t>
  </si>
  <si>
    <t xml:space="preserve">MWh/any</t>
  </si>
  <si>
    <t xml:space="preserve">PIB (euros)</t>
  </si>
  <si>
    <t xml:space="preserve">MWh/PIB</t>
  </si>
  <si>
    <t xml:space="preserve">Gràfica 23. Distribució del consum energètic per fonts dels anys 2005 i 2009</t>
  </si>
  <si>
    <t xml:space="preserve">Gràfica  21. Evolució del consum d'energia de l'àmbit PAES </t>
  </si>
  <si>
    <t xml:space="preserve">Gràfica  22. Evolució del consum d'energia de l'àmbit PAES per fonts</t>
  </si>
  <si>
    <t xml:space="preserve">Taula 11. Evolució del consum d'energia de l'àmbit PAES per fonts (Mwh)</t>
  </si>
  <si>
    <t xml:space="preserve">Gràfica 24. Evolució de les emissions de CO2 de l'àmbit PAES </t>
  </si>
  <si>
    <t xml:space="preserve">Taula 12. Evolució de les emissions de CO2 de l'àmbit PAES per fonts (tones)</t>
  </si>
  <si>
    <t xml:space="preserve">Gràfica 25. Evolució de les emissions de CO2 de l'àmbit PAES per fonts</t>
  </si>
  <si>
    <t xml:space="preserve">Gràfica 26. Distribució de les emissions de CO2 per fonts dels anys 2005 i 2009</t>
  </si>
  <si>
    <t xml:space="preserve">Gràfica 27.Evolució del consum d'energia de l'àmbit PAES </t>
  </si>
  <si>
    <t xml:space="preserve">Taula 13. Evolució del consum d'energia de l'àmbit PAES per sectors (Mwh)</t>
  </si>
  <si>
    <t xml:space="preserve">Gràfica 28.Evolució del consum d'energia de l'àmbit PAES per sectors</t>
  </si>
  <si>
    <t xml:space="preserve">Gràfica 29. Distribució del consum energètic per sectors dels anys 2005 i 2009</t>
  </si>
  <si>
    <t xml:space="preserve">comprovaciçó</t>
  </si>
  <si>
    <t xml:space="preserve">Taula 14. Evolució de les emissions de CO2 de l'àmbit PAES per sectors (tones)</t>
  </si>
  <si>
    <t xml:space="preserve">Gràfica 30. Evolució de les emissions de CO2 de l'àmbit PAES </t>
  </si>
  <si>
    <t xml:space="preserve">Gràfica 31. Evolució de les emissions de CO2 de l'àmbit PAES per sectors</t>
  </si>
  <si>
    <t xml:space="preserve">Gràfica 32. Distribució de les emissions de CO2 per sectors dels anys 2005 i 2009</t>
  </si>
  <si>
    <t xml:space="preserve">Taula 15. Emissions de CO2 per habitant (tones)</t>
  </si>
  <si>
    <t xml:space="preserve">Gràfica 33. Emissions de CO2 per habitant</t>
  </si>
  <si>
    <t xml:space="preserve">Població total considerada</t>
  </si>
  <si>
    <t xml:space="preserve">Emissions àmbit PAES</t>
  </si>
  <si>
    <t xml:space="preserve">Emissions per càpita i any</t>
  </si>
  <si>
    <t xml:space="preserve">Taula 16. Nombre de places i establiments turístics</t>
  </si>
  <si>
    <t xml:space="preserve">Establiments</t>
  </si>
  <si>
    <t xml:space="preserve">Places</t>
  </si>
  <si>
    <t xml:space="preserve">Taula 17. Evolució del consum d'energia del sector serveis per fonts (Mwh)</t>
  </si>
  <si>
    <t xml:space="preserve">Gràfica 34. Distribució del consum d'energia del sector serveis per fonts </t>
  </si>
  <si>
    <t xml:space="preserve">Gràfica 35. Distribució del consum energètic del sector serveis dels anys 2005 i 2009</t>
  </si>
  <si>
    <t xml:space="preserve">Sector serveis</t>
  </si>
  <si>
    <t xml:space="preserve">Nota: en aquesta taula s'han sumat els sectors serveis i serveis públics</t>
  </si>
  <si>
    <t xml:space="preserve">Taula 18. Evolució de les emissions de CO2 del sector serveis per fonts (tones)</t>
  </si>
  <si>
    <t xml:space="preserve">Gràfica 36. Evolució de les emissions de CO2 del sector serveis per fonts </t>
  </si>
  <si>
    <t xml:space="preserve">Gràfica 37. Distribució de les emissions de CO2 del sector serveis dels anys 2005 i 2009</t>
  </si>
  <si>
    <t xml:space="preserve">Taula 19. Evolució del consum d'energia del sector domèstic per fonts (Mwh)</t>
  </si>
  <si>
    <t xml:space="preserve">Sector domèstic</t>
  </si>
  <si>
    <t xml:space="preserve">Gràfica 39. Distribució del consum energètic del sector domèstic dels anys 2005 i 2009</t>
  </si>
  <si>
    <t xml:space="preserve">Gràfica 38. Evolució del consum d'energia del sector domèstic per fonts </t>
  </si>
  <si>
    <t xml:space="preserve">Taula 20. Evolució de les emissions de CO2 del sector domèstic per fonts (tones)</t>
  </si>
  <si>
    <t xml:space="preserve">Gràfica 40. Evolució de les emissions de CO2 del sector domèstic per fonts </t>
  </si>
  <si>
    <t xml:space="preserve">Gràfica 41. Distribució de les emissions de CO2 del sector domèstic dels anys 2005 i 2009</t>
  </si>
  <si>
    <t xml:space="preserve">Taula 21. Parc mòbil del municipi</t>
  </si>
  <si>
    <t xml:space="preserve">nº vehicles</t>
  </si>
  <si>
    <t xml:space="preserve">Total illa</t>
  </si>
  <si>
    <t xml:space="preserve">Taula 22. Proporció de consum de combustible pel sector transport a la illa</t>
  </si>
  <si>
    <t xml:space="preserve">Gràfica 42. Evolució del consum d'energia del sector transport per fonts </t>
  </si>
  <si>
    <t xml:space="preserve">Gràfica 43. Distribució del consum energètic del sector transport dels anys 2005 i 2009</t>
  </si>
  <si>
    <t xml:space="preserve">Taula 23. Evolució del consum d'energia del sector transport per fonts (Mwh)</t>
  </si>
  <si>
    <t xml:space="preserve">Sector transport</t>
  </si>
  <si>
    <t xml:space="preserve">Taula 24. Evolució de les emissions de CO2 del sector transport per fonts (tones)</t>
  </si>
  <si>
    <t xml:space="preserve">Gràfica 44. Evolució de les emissions de CO2 del sector transport per fonts </t>
  </si>
  <si>
    <t xml:space="preserve">Gràfica 45. Distribució de les emissions de CO2 del sector transport dels anys 2005 i 2009</t>
  </si>
  <si>
    <t xml:space="preserve">Taula 25. Generació municipal de residus (tones)</t>
  </si>
  <si>
    <t xml:space="preserve">Gràfica 46. Generació municipal de residus</t>
  </si>
  <si>
    <t xml:space="preserve">Sector residus</t>
  </si>
  <si>
    <t xml:space="preserve">Orgànica</t>
  </si>
  <si>
    <t xml:space="preserve">Gràfica 47. Evolució de les emissions de CO2 del sector residus per fonts </t>
  </si>
  <si>
    <t xml:space="preserve">Gràfica 48. Distribució de les emissions de CO2 del sector residus dels anys 2005 i 2009</t>
  </si>
  <si>
    <t xml:space="preserve">Taula 26. Evolució de les emissions de CO2 sector residus per fonts (tones)</t>
  </si>
  <si>
    <t xml:space="preserve">Gràfica 49. Consum d'aigua del municipi </t>
  </si>
  <si>
    <t xml:space="preserve">Taula 27. Consum d'aigua del municipi  (m3)</t>
  </si>
  <si>
    <t xml:space="preserve">Sector aigua</t>
  </si>
  <si>
    <t xml:space="preserve">Taula 28. Generació d'aigües residuals (m3)</t>
  </si>
  <si>
    <t xml:space="preserve">Gràfica 50. Generació d'aigües residuals</t>
  </si>
  <si>
    <t xml:space="preserve">Aigua residual</t>
  </si>
  <si>
    <t xml:space="preserve">Gràfica 51. Evolució del consum d'energia sector aigua per fonts </t>
  </si>
  <si>
    <t xml:space="preserve">Gràfica 52. Distribució del consum energètic del sector aigua dels anys 2005 i 2009</t>
  </si>
  <si>
    <t xml:space="preserve">Taula 29. Evolució del consum d'energia sector aigua per fonts (Mwh)</t>
  </si>
  <si>
    <t xml:space="preserve">Bombeig</t>
  </si>
  <si>
    <t xml:space="preserve">Gràfica 53. Evolució de les emissions de CO2 sector aigua per fonts </t>
  </si>
  <si>
    <t xml:space="preserve">Gràfica 54. Distribució de les emissions de CO2 del sector aigua dels anys 2005 i 2009</t>
  </si>
  <si>
    <t xml:space="preserve">Taula 30. Evolució de les emissions de CO2 sector aigua per fonts (tones)</t>
  </si>
  <si>
    <t xml:space="preserve">t.CO2 AIGUA</t>
  </si>
  <si>
    <t xml:space="preserve">MWh  AIGUA</t>
  </si>
  <si>
    <t xml:space="preserve">BOMBEIG</t>
  </si>
  <si>
    <t xml:space="preserve">ETAP </t>
  </si>
  <si>
    <t xml:space="preserve">POUS</t>
  </si>
  <si>
    <t xml:space="preserve">t/KWh</t>
  </si>
  <si>
    <t xml:space="preserve">t/MWh</t>
  </si>
  <si>
    <t xml:space="preserve">transport</t>
  </si>
  <si>
    <t xml:space="preserve">tona/tep</t>
  </si>
  <si>
    <t xml:space="preserve">gasolina</t>
  </si>
  <si>
    <t xml:space="preserve">gasoil A</t>
  </si>
  <si>
    <t xml:space="preserve">domèstic i serveis</t>
  </si>
  <si>
    <t xml:space="preserve">gas natural</t>
  </si>
  <si>
    <t xml:space="preserve">glp</t>
  </si>
  <si>
    <t xml:space="preserve">gasoil C</t>
  </si>
  <si>
    <t xml:space="preserve">fuel</t>
  </si>
  <si>
    <t xml:space="preserve">indústria</t>
  </si>
  <si>
    <t xml:space="preserve">t.CO2 TRANSPORT</t>
  </si>
  <si>
    <t xml:space="preserve">primari</t>
  </si>
  <si>
    <t xml:space="preserve">Transport urbà</t>
  </si>
  <si>
    <t xml:space="preserve">gasoil B</t>
  </si>
  <si>
    <t xml:space="preserve">Transport públic</t>
  </si>
  <si>
    <t xml:space="preserve">Gràfica 54. Evolució del consum d'energia de l'Ajuntament  per fonts</t>
  </si>
  <si>
    <t xml:space="preserve">Gràfica 55. Evolució del consum d'energia de l'Ajuntament  per fonts</t>
  </si>
  <si>
    <t xml:space="preserve">Gràfica 56. Distribució del consum energètic per fonts dels anys 2005 i 2009</t>
  </si>
  <si>
    <t xml:space="preserve">Taula 28. Evolució del consum d'energia  de l'Ajuntament per fonts (Mwh)</t>
  </si>
  <si>
    <t xml:space="preserve">Gràfica 57. Evolució de les emissions de CO2 l'Ajuntament  per fonts</t>
  </si>
  <si>
    <t xml:space="preserve">Gràfica 58. Evolució de les emissions de CO2 l'Ajuntament  per fonts</t>
  </si>
  <si>
    <t xml:space="preserve">Gràfica 59. Distribució del consum energètic per fonts dels anys 2005 i 2009</t>
  </si>
  <si>
    <t xml:space="preserve">Taula 29. Evolució de les emissions de CO2 de l'ajuntament per fonts (tones)</t>
  </si>
  <si>
    <t xml:space="preserve">Gràfica 60. Evolució del consum d'energia de l'Ajuntament  per serveis</t>
  </si>
  <si>
    <t xml:space="preserve">Gràfica 61. Evolució del consum d'energia de l'Ajuntament  per sectors</t>
  </si>
  <si>
    <t xml:space="preserve">Gràfica 62. Distribució del consum energètic per sectors dels anys 2005 i 2009</t>
  </si>
  <si>
    <t xml:space="preserve">Taula 30. Evolució del consum d'energia  de l'Ajuntament per sectors (Mwh)</t>
  </si>
  <si>
    <t xml:space="preserve">Enllumenat públic</t>
  </si>
  <si>
    <t xml:space="preserve">Semàfors</t>
  </si>
  <si>
    <t xml:space="preserve">Equipaments</t>
  </si>
  <si>
    <t xml:space="preserve">Vehicles municipals</t>
  </si>
  <si>
    <t xml:space="preserve">Vehicles externalitzats</t>
  </si>
  <si>
    <t xml:space="preserve">Producció d'energia</t>
  </si>
  <si>
    <t xml:space="preserve">Gràfica 63. Evolució de les emissions de CO2 de l'Ajuntament  per sectors</t>
  </si>
  <si>
    <t xml:space="preserve">Gràfica 64. Evolució de les emissions de CO2 de l'Ajuntament  per sectors</t>
  </si>
  <si>
    <t xml:space="preserve">Gràfica 65. Distribució de les emissions de CO2 per sectors dels anys 2005 i 2009</t>
  </si>
  <si>
    <t xml:space="preserve">Taula 31. Evolució de les emissions de CO2 de l'Ajuntament per sectors (tones)</t>
  </si>
  <si>
    <t xml:space="preserve">Taula 32 . Evolució del consum energètic en l'enllumenat públic </t>
  </si>
  <si>
    <t xml:space="preserve">Enllumenat </t>
  </si>
  <si>
    <t xml:space="preserve">Habitants</t>
  </si>
  <si>
    <t xml:space="preserve">Punts de llum</t>
  </si>
  <si>
    <t xml:space="preserve">kWh/hab</t>
  </si>
  <si>
    <t xml:space="preserve">kWh/punts de llum</t>
  </si>
  <si>
    <t xml:space="preserve">Taula 33 . Evolució de les emissions de CO2 de l'enllumenat públic </t>
  </si>
  <si>
    <t xml:space="preserve">Enllumenat</t>
  </si>
  <si>
    <r>
      <rPr>
        <sz val="10"/>
        <color rgb="FFFFFFFF"/>
        <rFont val="Conduit ITC Light"/>
        <family val="0"/>
        <charset val="1"/>
      </rPr>
      <t xml:space="preserve">t. CO</t>
    </r>
    <r>
      <rPr>
        <i val="true"/>
        <vertAlign val="subscript"/>
        <sz val="8"/>
        <color rgb="FFFFFFFF"/>
        <rFont val="Conduit ITC Light"/>
        <family val="0"/>
        <charset val="1"/>
      </rPr>
      <t xml:space="preserve">2 eq.</t>
    </r>
  </si>
  <si>
    <r>
      <rPr>
        <sz val="10"/>
        <color rgb="FFFFFFFF"/>
        <rFont val="Conduit ITC Light"/>
        <family val="0"/>
        <charset val="1"/>
      </rPr>
      <t xml:space="preserve">t. CO</t>
    </r>
    <r>
      <rPr>
        <vertAlign val="subscript"/>
        <sz val="8"/>
        <color rgb="FFFFFFFF"/>
        <rFont val="Conduit ITC Light"/>
        <family val="0"/>
        <charset val="1"/>
      </rPr>
      <t xml:space="preserve">2 eq.</t>
    </r>
    <r>
      <rPr>
        <sz val="8"/>
        <color rgb="FFFFFFFF"/>
        <rFont val="Conduit ITC Light"/>
        <family val="0"/>
        <charset val="1"/>
      </rPr>
      <t xml:space="preserve">/hab</t>
    </r>
  </si>
  <si>
    <r>
      <rPr>
        <sz val="10"/>
        <color rgb="FFFFFFFF"/>
        <rFont val="Conduit ITC Light"/>
        <family val="0"/>
        <charset val="1"/>
      </rPr>
      <t xml:space="preserve">t. CO</t>
    </r>
    <r>
      <rPr>
        <vertAlign val="subscript"/>
        <sz val="8"/>
        <color rgb="FFFFFFFF"/>
        <rFont val="Conduit ITC Light"/>
        <family val="0"/>
        <charset val="1"/>
      </rPr>
      <t xml:space="preserve">2 eq.</t>
    </r>
    <r>
      <rPr>
        <sz val="8"/>
        <color rgb="FFFFFFFF"/>
        <rFont val="Conduit ITC Light"/>
        <family val="0"/>
        <charset val="1"/>
      </rPr>
      <t xml:space="preserve">/punts de llum</t>
    </r>
  </si>
  <si>
    <t xml:space="preserve">Gràfica 66. Evolució del consum d'energia dels semàfors</t>
  </si>
  <si>
    <t xml:space="preserve">Taula 34 . Evolució del consum energètic en semàfors (Mwh)</t>
  </si>
  <si>
    <t xml:space="preserve">Gràfica 67. Distribució del consum energètic per sectors dels anys 2005 i 2009</t>
  </si>
  <si>
    <t xml:space="preserve">Taula 35 . Evolució de les emissions de CO2 de semàfors (tones)</t>
  </si>
  <si>
    <t xml:space="preserve">Gràfica 68. Evolució de les emissions de CO2 dels semàfors</t>
  </si>
  <si>
    <t xml:space="preserve">Gràfica 69. Distribució de les emissions de CO2 per sectors dels anys 2005 i 2009</t>
  </si>
  <si>
    <t xml:space="preserve">Gràfica 70. Evolució del consum d'energia dels equipaments municipals</t>
  </si>
  <si>
    <t xml:space="preserve">Gràfica 71. Evolució del consum d'energia dels equipaments municipals </t>
  </si>
  <si>
    <t xml:space="preserve">Taula 36. Evolució del consum d'energia  dels equipaments municipals per fonts (Mwh)</t>
  </si>
  <si>
    <t xml:space="preserve">Taula 37. Evolució de les emissions de CO2 dels equipaments municipals per fonts (tones)</t>
  </si>
  <si>
    <t xml:space="preserve">Gràfica 72. Evolució de les emissions de CO2 dels equipaments municipals</t>
  </si>
  <si>
    <t xml:space="preserve">Gràfica 73. Distribució de les emissions de CO2 dels equipaments dels anys 2005 i 2009</t>
  </si>
  <si>
    <t xml:space="preserve">Taula 38. Evolució del consum d'energia  dels equipaments municipals per usos (Mwh)</t>
  </si>
  <si>
    <t xml:space="preserve">Gràfica 74. Evolució del consum d'energia dels equipaments municipals</t>
  </si>
  <si>
    <t xml:space="preserve">Gràfica 75. Evolució del consum d'energia dels equipaments municipals </t>
  </si>
  <si>
    <t xml:space="preserve">Comprovació</t>
  </si>
  <si>
    <t xml:space="preserve">Gràfica 76. Evolució de les emissions de CO2 dels equipaments municipals</t>
  </si>
  <si>
    <t xml:space="preserve">Gràfica 77. Distribució de les emissions de CO2 dels equipaments dels anys 2005 i 2009</t>
  </si>
  <si>
    <t xml:space="preserve">Taula 39. Evolució de les emissions de CO2 dels equipaments municipals per usos (tones)</t>
  </si>
  <si>
    <t xml:space="preserve">Taula 40. Parc mòbil de l'Ajuntament</t>
  </si>
  <si>
    <t xml:space="preserve">Vehicles serveis externalitzats</t>
  </si>
  <si>
    <t xml:space="preserve">Nota: Caldrà ajustar la taula a cada municipi.</t>
  </si>
  <si>
    <t xml:space="preserve">Gràfica 78. Evolució del consum d'energia de la flota de vehicles municipals </t>
  </si>
  <si>
    <t xml:space="preserve">Gràfica 79. Evolució del consum d'energia de la flota de vehicles municipals </t>
  </si>
  <si>
    <t xml:space="preserve">Taula 41. Evolució del consum d'energia  de la flota de vehicles municipals (kwh)</t>
  </si>
  <si>
    <t xml:space="preserve">Brigada</t>
  </si>
  <si>
    <t xml:space="preserve">Neteja</t>
  </si>
  <si>
    <t xml:space="preserve">Policia </t>
  </si>
  <si>
    <t xml:space="preserve">Medi ambient</t>
  </si>
  <si>
    <t xml:space="preserve">Serveis socials</t>
  </si>
  <si>
    <t xml:space="preserve">Gràfica 80. Evolució de les emissions de CO2 de la flota de vehicles municipals</t>
  </si>
  <si>
    <t xml:space="preserve">Gràfica 81. Distribució de les emissions de CO2 de la flota de vehicles municipals dels anys 2005 i 2009</t>
  </si>
  <si>
    <t xml:space="preserve">Taula 42. Evolució de les emissions de CO2 de la flota de vehicles municipals (tones)</t>
  </si>
  <si>
    <t xml:space="preserve">Taula 43. Evolució del consum d'energia  de la flota de vehicles de serveis externalitzats (Mwh)</t>
  </si>
  <si>
    <t xml:space="preserve">Gràfica 82. Evolució del consum d'energia de la flota de vehicles de serveis externalitzats</t>
  </si>
  <si>
    <t xml:space="preserve">Gràfica 83. Evolució del consum d'energia de la flota de vehicles de serveis externalitzats</t>
  </si>
  <si>
    <t xml:space="preserve">Recollida de residus</t>
  </si>
  <si>
    <t xml:space="preserve">Jardineria</t>
  </si>
  <si>
    <t xml:space="preserve">Neteja viària</t>
  </si>
  <si>
    <t xml:space="preserve">sa</t>
  </si>
  <si>
    <t xml:space="preserve">Taula 44. Evolució de les emissions de CO2 de la flota de vehicles de serveis externalitzats (tones)</t>
  </si>
  <si>
    <t xml:space="preserve">Gràfica 84. Evolució de les emissions de CO2 de la flota de vehicles de serveis externalitzats</t>
  </si>
  <si>
    <t xml:space="preserve">Gràfica 85. Distribució de les emissions de CO2 de la flota de vehicles de serveis externalitzats dels anys 2005 i 2009</t>
  </si>
  <si>
    <t xml:space="preserve">Gràfica 86. Evolució del consum d'energia del transport públic </t>
  </si>
  <si>
    <t xml:space="preserve">Gràfica 87. Evolució del consum d'energia del transport públic dels anys 2005 i 2009</t>
  </si>
  <si>
    <t xml:space="preserve">Taula 45. Evolució del consum d'energia  del transport públic (Mwh)</t>
  </si>
  <si>
    <t xml:space="preserve">Transport públic escolar</t>
  </si>
  <si>
    <t xml:space="preserve">Taula 46. Evolució de les emissions de CO2  del transport públic (tones)</t>
  </si>
  <si>
    <t xml:space="preserve">Gràfica 88. Evolució de les emissions de CO2 del transport públic </t>
  </si>
  <si>
    <t xml:space="preserve">Gràfica 89. Distribució de les emissions de CO2 del transport públic dels anys 2005 i 2009</t>
  </si>
  <si>
    <t xml:space="preserve">Taula 47. Evolució del consum d'energia  del bombament d'aigua (Mwh)</t>
  </si>
  <si>
    <t xml:space="preserve">Gràfica 90. Evolució del consum d'energia del bombament d'aigua</t>
  </si>
  <si>
    <t xml:space="preserve">Gràfica 91. Distribució de les emissions de CO2 del bombament d'aigua dels anys 2005 i 2009</t>
  </si>
  <si>
    <t xml:space="preserve">Taula 48. Evolució de les emissions de CO2  del bombament d'aigua (tones)</t>
  </si>
  <si>
    <t xml:space="preserve">Gràfica 92. Evolució de les emissions de CO2 del bombament d'aigua</t>
  </si>
  <si>
    <t xml:space="preserve">Gràfica 93. Distribució de les emissions de CO2 del bombament d'aigua dels anys 2005 i 2009</t>
  </si>
  <si>
    <t xml:space="preserve">Taula 41. Caracterització de les instal·lacions renovables en l'àmbit municipi</t>
  </si>
  <si>
    <r>
      <rPr>
        <sz val="10"/>
        <color rgb="FFFFFFFF"/>
        <rFont val="Conduit ITC Light"/>
        <family val="0"/>
        <charset val="1"/>
      </rPr>
      <t xml:space="preserve"> Superfície instal·lada (m</t>
    </r>
    <r>
      <rPr>
        <vertAlign val="superscript"/>
        <sz val="8"/>
        <color rgb="FFFFFFFF"/>
        <rFont val="Conduit ITC Light"/>
        <family val="0"/>
        <charset val="1"/>
      </rPr>
      <t xml:space="preserve">2</t>
    </r>
    <r>
      <rPr>
        <sz val="8"/>
        <color rgb="FFFFFFFF"/>
        <rFont val="Conduit ITC Light"/>
        <family val="0"/>
        <charset val="1"/>
      </rPr>
      <t xml:space="preserve">)</t>
    </r>
  </si>
  <si>
    <t xml:space="preserve">Taula 42. Evolució de la producció local d'energia en l'àmbit municipi</t>
  </si>
  <si>
    <t xml:space="preserve">Variació 2005-2009</t>
  </si>
  <si>
    <t xml:space="preserve">Taula 43. Evolució de l’estalvi d’emissions de la producció local d’energia en l'àmbit municipi </t>
  </si>
  <si>
    <t xml:space="preserve">Taula 44. Caracterització de les instal·lacions renovables en l'àmbit PAES</t>
  </si>
  <si>
    <t xml:space="preserve">Taula 45. Evolució de la producció local d'energia en l'àmbit PAES</t>
  </si>
  <si>
    <t xml:space="preserve">Taula 46. Evolució de l’estalvi d’emissions de la producció local d’energia en l'àmbit PAES </t>
  </si>
  <si>
    <t xml:space="preserve">Taula 47. Caracterització de les instal·lacions renovables en l'àmbit ajuntament</t>
  </si>
  <si>
    <t xml:space="preserve">Taula 48. Evolució de la producció local d'energia en l'àmbit ajuntament</t>
  </si>
  <si>
    <t xml:space="preserve">Taula 49. Evolució de l’estalvi d’emissions de la producció local d’energia en l'àmbit ajuntament </t>
  </si>
  <si>
    <t xml:space="preserve">Taula annex ratis equipaments</t>
  </si>
  <si>
    <t xml:space="preserve">CONSUM ENERGÈTIC (KWh/any)</t>
  </si>
  <si>
    <t xml:space="preserve">Variació 05-09 (kWh)</t>
  </si>
  <si>
    <t xml:space="preserve">Equipament</t>
  </si>
  <si>
    <r>
      <rPr>
        <b val="true"/>
        <sz val="10"/>
        <color rgb="FFFFFFFF"/>
        <rFont val="Calibri"/>
        <family val="2"/>
        <charset val="1"/>
      </rPr>
      <t xml:space="preserve">Superfície (m</t>
    </r>
    <r>
      <rPr>
        <b val="true"/>
        <vertAlign val="superscript"/>
        <sz val="10"/>
        <color rgb="FFFFFFFF"/>
        <rFont val="Calibri"/>
        <family val="2"/>
        <charset val="1"/>
      </rPr>
      <t xml:space="preserve">2</t>
    </r>
    <r>
      <rPr>
        <b val="true"/>
        <sz val="10"/>
        <color rgb="FFFFFFFF"/>
        <rFont val="Calibri"/>
        <family val="2"/>
        <charset val="1"/>
      </rPr>
      <t xml:space="preserve">)</t>
    </r>
  </si>
  <si>
    <t xml:space="preserve">Usuaris</t>
  </si>
  <si>
    <t xml:space="preserve">Taula annex ratis enllumenat</t>
  </si>
  <si>
    <t xml:space="preserve">RATIS CONSUM/PUNT DE LLUM (kWh/p.llum)</t>
  </si>
  <si>
    <t xml:space="preserve">Quadre enllumenat</t>
  </si>
  <si>
    <t xml:space="preserve">Pòlissa</t>
  </si>
  <si>
    <t xml:space="preserve">Potència contractada</t>
  </si>
  <si>
    <t xml:space="preserve">Sistema d'encesa</t>
  </si>
  <si>
    <t xml:space="preserve">Sistema de regualció de flux</t>
  </si>
  <si>
    <t xml:space="preserve">NOMÉS PAES DIPUTACIÓ DE BARCELONA</t>
  </si>
  <si>
    <t xml:space="preserve">Població </t>
  </si>
  <si>
    <t xml:space="preserve">TAULA RESUM ÀMBIT PAES</t>
  </si>
  <si>
    <r>
      <rPr>
        <b val="true"/>
        <sz val="9"/>
        <color rgb="FFFFFFFF"/>
        <rFont val="Arial"/>
        <family val="2"/>
        <charset val="1"/>
      </rPr>
      <t xml:space="preserve">t. CO</t>
    </r>
    <r>
      <rPr>
        <b val="true"/>
        <vertAlign val="subscript"/>
        <sz val="9"/>
        <color rgb="FFFFFFFF"/>
        <rFont val="Arial"/>
        <family val="2"/>
        <charset val="1"/>
      </rPr>
      <t xml:space="preserve">2 eq.</t>
    </r>
  </si>
  <si>
    <t xml:space="preserve">Tendència </t>
  </si>
  <si>
    <r>
      <rPr>
        <b val="true"/>
        <sz val="9"/>
        <color rgb="FFFFFFFF"/>
        <rFont val="Arial"/>
        <family val="2"/>
        <charset val="1"/>
      </rPr>
      <t xml:space="preserve">t. CO</t>
    </r>
    <r>
      <rPr>
        <b val="true"/>
        <vertAlign val="subscript"/>
        <sz val="9"/>
        <color rgb="FFFFFFFF"/>
        <rFont val="Arial"/>
        <family val="2"/>
        <charset val="1"/>
      </rPr>
      <t xml:space="preserve">2 eq.</t>
    </r>
    <r>
      <rPr>
        <b val="true"/>
        <sz val="9"/>
        <color rgb="FFFFFFFF"/>
        <rFont val="Arial"/>
        <family val="2"/>
        <charset val="1"/>
      </rPr>
      <t xml:space="preserve">/hab.</t>
    </r>
  </si>
  <si>
    <t xml:space="preserve">Tendència</t>
  </si>
  <si>
    <t xml:space="preserve">Emissions  àmbit municipi</t>
  </si>
  <si>
    <t xml:space="preserve">Total emissions municipi</t>
  </si>
  <si>
    <t xml:space="preserve">Per fonts</t>
  </si>
  <si>
    <t xml:space="preserve">Per sectors</t>
  </si>
  <si>
    <t xml:space="preserve">Cicle de l’aigua</t>
  </si>
  <si>
    <t xml:space="preserve">Total emissions PAES</t>
  </si>
  <si>
    <t xml:space="preserve">% emissions de l’àmbit PAES respecte el total </t>
  </si>
  <si>
    <t xml:space="preserve">Emissions àmbit Ajuntament</t>
  </si>
  <si>
    <t xml:space="preserve">Enllumenat i semàfors</t>
  </si>
  <si>
    <t xml:space="preserve">Flota de vehicles (pròpia, externalitzada i transport públic)</t>
  </si>
  <si>
    <t xml:space="preserve">Infraestructures municipals (bombament)</t>
  </si>
  <si>
    <t xml:space="preserve">Total emissions Ajuntament</t>
  </si>
  <si>
    <t xml:space="preserve">% emissions de l’Ajuntament respecte l`àmbit PAES</t>
  </si>
  <si>
    <t xml:space="preserve">[1] Inclou el tractament i el transport.</t>
  </si>
  <si>
    <t xml:space="preserve">[2] No inclou el transport de residus.</t>
  </si>
  <si>
    <t xml:space="preserve">Gestió de residus</t>
  </si>
  <si>
    <t xml:space="preserve">Equipaments municipals</t>
  </si>
  <si>
    <t xml:space="preserve">Flota de vehicles pròpia</t>
  </si>
  <si>
    <t xml:space="preserve">Flota de vehicles externalitzada</t>
  </si>
  <si>
    <t xml:space="preserve">Producció energètica local</t>
  </si>
  <si>
    <t xml:space="preserve">MWh/any i hab</t>
  </si>
  <si>
    <t xml:space="preserve">Sector privat</t>
  </si>
  <si>
    <t xml:space="preserve">Fonts renovables</t>
  </si>
  <si>
    <t xml:space="preserve">Sector públic municipal</t>
  </si>
  <si>
    <t xml:space="preserve">Intensitat energètica local (sobre PIB)</t>
  </si>
  <si>
    <t xml:space="preserve">MWh/€</t>
  </si>
  <si>
    <t xml:space="preserve">I. E.</t>
  </si>
  <si>
    <t xml:space="preserve">NO ES CONSIDEREN LES INSTAL·LACIONS SOLARS TÈRMIQUES!!!</t>
  </si>
  <si>
    <t xml:space="preserve">NOMÉS PAES A CATALUNYA</t>
  </si>
  <si>
    <t xml:space="preserve">MATERIA ORGÀNICA</t>
  </si>
  <si>
    <t xml:space="preserve">VIDRE</t>
  </si>
  <si>
    <t xml:space="preserve">PAER I CARTRÓ</t>
  </si>
  <si>
    <t xml:space="preserve">ENVASOS LLEUGERS</t>
  </si>
  <si>
    <t xml:space="preserve">DEIXALLERIA</t>
  </si>
  <si>
    <t xml:space="preserve">FRACCIÓ RESTA</t>
  </si>
  <si>
    <t xml:space="preserve">TOTAL AMB DEIXALLERIA</t>
  </si>
  <si>
    <t xml:space="preserve">TOTAL SENSE DEIXALLERIA</t>
  </si>
  <si>
    <t xml:space="preserve">ANY 2005</t>
  </si>
  <si>
    <t xml:space="preserve">Percentatges</t>
  </si>
  <si>
    <t xml:space="preserve">Bossa tipus</t>
  </si>
  <si>
    <t xml:space="preserve">% bossa tipus</t>
  </si>
  <si>
    <t xml:space="preserve">Residus generats de cada fracció segons bossa tipus</t>
  </si>
  <si>
    <t xml:space="preserve">Recollida real</t>
  </si>
  <si>
    <t xml:space="preserve">Objectius progremic</t>
  </si>
  <si>
    <t xml:space="preserve">Percentatge de recollida assolit</t>
  </si>
  <si>
    <t xml:space="preserve">Què em falta per assolir el 55%</t>
  </si>
  <si>
    <t xml:space="preserve">Paper i cartró</t>
  </si>
  <si>
    <t xml:space="preserve">Recollida per assolir el progremic</t>
  </si>
  <si>
    <t xml:space="preserve">Dades segons PROGREMIC</t>
  </si>
  <si>
    <t xml:space="preserve">Emissions reals</t>
  </si>
  <si>
    <t xml:space="preserve">Emissions segons PROGREMIC</t>
  </si>
  <si>
    <t xml:space="preserve">MO</t>
  </si>
  <si>
    <t xml:space="preserve">PAPER I CARTRÓ</t>
  </si>
  <si>
    <t xml:space="preserve">RESTA</t>
  </si>
  <si>
    <t xml:space="preserve">Estalvi emissions</t>
  </si>
  <si>
    <t xml:space="preserve">REAL</t>
  </si>
  <si>
    <t xml:space="preserve">PROGREMIC</t>
  </si>
  <si>
    <t xml:space="preserve">Dades Edar Sant Sadurní d'Anoia</t>
  </si>
  <si>
    <t xml:space="preserve">kWh/m3</t>
  </si>
  <si>
    <t xml:space="preserve">Cabal (m3/d)</t>
  </si>
  <si>
    <t xml:space="preserve">Dies mes</t>
  </si>
  <si>
    <t xml:space="preserve">cabal m3/mes</t>
  </si>
  <si>
    <t xml:space="preserve">cabal anual </t>
  </si>
  <si>
    <t xml:space="preserve">kWh/mes</t>
  </si>
  <si>
    <t xml:space="preserve">kWh anuals</t>
  </si>
  <si>
    <t xml:space="preserve">dies mes</t>
  </si>
  <si>
    <t xml:space="preserve">M3 ANUALS</t>
  </si>
  <si>
    <t xml:space="preserve">GENER 04</t>
  </si>
  <si>
    <t xml:space="preserve">FEBRER 04</t>
  </si>
  <si>
    <t xml:space="preserve">MARÇ 04</t>
  </si>
  <si>
    <t xml:space="preserve">ABRIL 04</t>
  </si>
  <si>
    <t xml:space="preserve">MAIG 04</t>
  </si>
  <si>
    <t xml:space="preserve">JUNY 04</t>
  </si>
  <si>
    <t xml:space="preserve">JULIOL 04</t>
  </si>
  <si>
    <t xml:space="preserve">AGOST 04</t>
  </si>
  <si>
    <t xml:space="preserve">SETEMBRE 04</t>
  </si>
  <si>
    <t xml:space="preserve">OCTUBRE 04</t>
  </si>
  <si>
    <t xml:space="preserve">NOVEMBRE 04</t>
  </si>
  <si>
    <t xml:space="preserve">DESEMBRE 04</t>
  </si>
  <si>
    <t xml:space="preserve">GENER 05</t>
  </si>
  <si>
    <t xml:space="preserve">FEBRER 05</t>
  </si>
  <si>
    <t xml:space="preserve">MARÇ 05</t>
  </si>
  <si>
    <t xml:space="preserve">ABRIL 05</t>
  </si>
  <si>
    <t xml:space="preserve">MAIG 05</t>
  </si>
  <si>
    <t xml:space="preserve">JUNY 05</t>
  </si>
  <si>
    <t xml:space="preserve">JULIOL 05</t>
  </si>
  <si>
    <t xml:space="preserve">AGOST 05</t>
  </si>
  <si>
    <t xml:space="preserve">SETEMBRE 05</t>
  </si>
  <si>
    <t xml:space="preserve">OCTUBRE 05</t>
  </si>
  <si>
    <t xml:space="preserve">NOVEMBRE 05</t>
  </si>
  <si>
    <t xml:space="preserve">DESEMBRE 05</t>
  </si>
  <si>
    <t xml:space="preserve">GENER 06</t>
  </si>
  <si>
    <t xml:space="preserve">FEBRER 06</t>
  </si>
  <si>
    <t xml:space="preserve">MARÇ 06</t>
  </si>
  <si>
    <t xml:space="preserve">ABRIL 06</t>
  </si>
  <si>
    <t xml:space="preserve">MAIG 06</t>
  </si>
  <si>
    <t xml:space="preserve">JUNY 06</t>
  </si>
  <si>
    <t xml:space="preserve">JULIOL 06</t>
  </si>
  <si>
    <t xml:space="preserve">AGOST 06</t>
  </si>
  <si>
    <t xml:space="preserve">SETEMBRE 06</t>
  </si>
  <si>
    <t xml:space="preserve">OCTUBRE 06</t>
  </si>
  <si>
    <t xml:space="preserve">NOVEMBRE 06</t>
  </si>
  <si>
    <t xml:space="preserve">DESEMBRE 06</t>
  </si>
  <si>
    <t xml:space="preserve">GENER 07</t>
  </si>
  <si>
    <t xml:space="preserve">FEBRER 07</t>
  </si>
  <si>
    <t xml:space="preserve">MARÇ 07</t>
  </si>
  <si>
    <t xml:space="preserve">ABRIL 07</t>
  </si>
  <si>
    <t xml:space="preserve">MAIG 07</t>
  </si>
  <si>
    <t xml:space="preserve">JUNY 07</t>
  </si>
  <si>
    <t xml:space="preserve">JULIOL 07</t>
  </si>
  <si>
    <t xml:space="preserve">AGOST 07</t>
  </si>
  <si>
    <t xml:space="preserve">SETEMBRE 07</t>
  </si>
  <si>
    <t xml:space="preserve">OCTUBRE 07</t>
  </si>
  <si>
    <t xml:space="preserve">NOVEMBRE 07</t>
  </si>
  <si>
    <t xml:space="preserve">DESEMBRE 07</t>
  </si>
  <si>
    <t xml:space="preserve">GENER 08</t>
  </si>
  <si>
    <t xml:space="preserve">FEBRER 08</t>
  </si>
  <si>
    <t xml:space="preserve">MARÇ 08</t>
  </si>
  <si>
    <t xml:space="preserve">ABRIL 08</t>
  </si>
  <si>
    <t xml:space="preserve">MAIG 08</t>
  </si>
  <si>
    <t xml:space="preserve">JUNY 08</t>
  </si>
  <si>
    <t xml:space="preserve">JULIOL 08</t>
  </si>
  <si>
    <t xml:space="preserve">AGOST 08</t>
  </si>
  <si>
    <t xml:space="preserve">SETEMBRE 08</t>
  </si>
  <si>
    <t xml:space="preserve">OCTUBRE 08</t>
  </si>
  <si>
    <t xml:space="preserve">NOVEMBRE 08</t>
  </si>
  <si>
    <t xml:space="preserve">DESEMBRE 08</t>
  </si>
  <si>
    <t xml:space="preserve">GENER 09</t>
  </si>
  <si>
    <t xml:space="preserve">FEBRER 09</t>
  </si>
  <si>
    <t xml:space="preserve">MARÇ 09</t>
  </si>
  <si>
    <t xml:space="preserve">ABRIL 09</t>
  </si>
  <si>
    <t xml:space="preserve">MAIG 09</t>
  </si>
  <si>
    <t xml:space="preserve">JUNY 09</t>
  </si>
  <si>
    <t xml:space="preserve">JULIOL 09</t>
  </si>
  <si>
    <t xml:space="preserve">AGOST 09</t>
  </si>
  <si>
    <t xml:space="preserve">SETEMBRE 09</t>
  </si>
  <si>
    <t xml:space="preserve">OCTUBRE 09</t>
  </si>
  <si>
    <t xml:space="preserve">NOVEMBRE 09</t>
  </si>
  <si>
    <t xml:space="preserve">DESEMBRE 09</t>
  </si>
  <si>
    <t xml:space="preserve">MUNICIPI</t>
  </si>
  <si>
    <t xml:space="preserve">   Plantilla del Plan de Acción para la Energía Sostenible (PAES)</t>
  </si>
  <si>
    <t xml:space="preserve">INVENTARIO DE REFERENCIA DE LAS EMISIONES</t>
  </si>
  <si>
    <t xml:space="preserve">1)</t>
  </si>
  <si>
    <t xml:space="preserve">Año de referencia</t>
  </si>
  <si>
    <t xml:space="preserve">Instrucciones</t>
  </si>
  <si>
    <t xml:space="preserve">Los signatarios del Pacto que calculen sus emisiones de CO2 per cápita deberán precisar aquí el número de habitantes durante el año de referencia:</t>
  </si>
  <si>
    <t xml:space="preserve">2)</t>
  </si>
  <si>
    <t xml:space="preserve">Factores de emisión</t>
  </si>
  <si>
    <t xml:space="preserve">Marque con una cruz la opción correspondiente:</t>
  </si>
  <si>
    <t xml:space="preserve">Factores de emisión «estándar» de acuerdo con los principios del IPCC</t>
  </si>
  <si>
    <t xml:space="preserve">Factores de emisión </t>
  </si>
  <si>
    <t xml:space="preserve">Factores de ACV (análisis del ciclo de vida)</t>
  </si>
  <si>
    <t xml:space="preserve">Unidad de información de las emisiones</t>
  </si>
  <si>
    <t xml:space="preserve">emisiones de CO2</t>
  </si>
  <si>
    <t xml:space="preserve">emisiones equivalentes de CO2</t>
  </si>
  <si>
    <t xml:space="preserve">3)</t>
  </si>
  <si>
    <t xml:space="preserve">Resultados principales del inventario de referencia de las emisiones</t>
  </si>
  <si>
    <t xml:space="preserve">Leyenda de colores y símbolos:</t>
  </si>
  <si>
    <t xml:space="preserve">Las celdas verdes son campos obligatorios</t>
  </si>
  <si>
    <t xml:space="preserve">Los campos grises no pueden modificarse</t>
  </si>
  <si>
    <t xml:space="preserve">A. Consumo final de energía</t>
  </si>
  <si>
    <t xml:space="preserve">Obsérvese que para separar los decimales se utiliza el punto [.]. No se permite utilizar separador de millares. </t>
  </si>
  <si>
    <t xml:space="preserve">Categoría</t>
  </si>
  <si>
    <t xml:space="preserve">CONSUMO FINAL DE ENERGÍA [MWh]</t>
  </si>
  <si>
    <t xml:space="preserve">Electricidad</t>
  </si>
  <si>
    <t xml:space="preserve">Calefacción/Refrigeración</t>
  </si>
  <si>
    <t xml:space="preserve">Combustibles fósiles</t>
  </si>
  <si>
    <t xml:space="preserve">Energías renovables</t>
  </si>
  <si>
    <t xml:space="preserve">Gas licuado</t>
  </si>
  <si>
    <t xml:space="preserve">Gasóleo de calefacción</t>
  </si>
  <si>
    <t xml:space="preserve">Gasóleo</t>
  </si>
  <si>
    <t xml:space="preserve">Lignito</t>
  </si>
  <si>
    <t xml:space="preserve">Carbón</t>
  </si>
  <si>
    <t xml:space="preserve">Otros combustibles fósiles</t>
  </si>
  <si>
    <t xml:space="preserve">Aceite vegetal</t>
  </si>
  <si>
    <t xml:space="preserve">Biocombustible </t>
  </si>
  <si>
    <t xml:space="preserve">Otros tipos de biomasa</t>
  </si>
  <si>
    <t xml:space="preserve">Energía solar térmica</t>
  </si>
  <si>
    <t xml:space="preserve">Energía geotérmica</t>
  </si>
  <si>
    <t xml:space="preserve">EDIFICIOS, EQUIPAMIENTO/INSTALACIONES E INDUSTRIA:</t>
  </si>
  <si>
    <t xml:space="preserve"> </t>
  </si>
  <si>
    <t xml:space="preserve">Edificios y equipamiento/instalaciones municipales</t>
  </si>
  <si>
    <t xml:space="preserve">Edificios y equipamiento/instalaciones terciarios (no municipales)</t>
  </si>
  <si>
    <t xml:space="preserve">Edificios residenciales</t>
  </si>
  <si>
    <t xml:space="preserve">Alumbrado público municipal</t>
  </si>
  <si>
    <t xml:space="preserve">Industria (salvo la incluida en el régimen de comercio de derechos de emisión de la UE)</t>
  </si>
  <si>
    <t xml:space="preserve">Subtotal edificios, equipamiento/instalaciones e industria</t>
  </si>
  <si>
    <t xml:space="preserve">TRANSPORTE:</t>
  </si>
  <si>
    <t xml:space="preserve">Flota municipal</t>
  </si>
  <si>
    <t xml:space="preserve">Transporte público </t>
  </si>
  <si>
    <t xml:space="preserve">Transporte privado y comercial  </t>
  </si>
  <si>
    <t xml:space="preserve">Subtotal transporte</t>
  </si>
  <si>
    <r>
      <rPr>
        <b val="true"/>
        <sz val="11"/>
        <rFont val="Calibri"/>
        <family val="2"/>
        <charset val="1"/>
      </rPr>
      <t xml:space="preserve">Adquisición municipal de electricidad ecológica certificada</t>
    </r>
    <r>
      <rPr>
        <sz val="10"/>
        <rFont val="Calibri"/>
        <family val="2"/>
        <charset val="1"/>
      </rPr>
      <t xml:space="preserve"> (en su caso) </t>
    </r>
    <r>
      <rPr>
        <b val="true"/>
        <sz val="11"/>
        <rFont val="Calibri"/>
        <family val="2"/>
        <charset val="1"/>
      </rPr>
      <t xml:space="preserve">[MWh]:</t>
    </r>
  </si>
  <si>
    <r>
      <rPr>
        <b val="true"/>
        <sz val="11"/>
        <rFont val="Calibri"/>
        <family val="2"/>
        <charset val="1"/>
      </rPr>
      <t xml:space="preserve">Factor de emisión de CO2 para la adquisición de electricidad ecológica certificada </t>
    </r>
    <r>
      <rPr>
        <sz val="11"/>
        <rFont val="Calibri"/>
        <family val="2"/>
        <charset val="1"/>
      </rPr>
      <t xml:space="preserve">(para el planteamiento ACV)</t>
    </r>
    <r>
      <rPr>
        <b val="true"/>
        <sz val="11"/>
        <rFont val="Calibri"/>
        <family val="2"/>
        <charset val="1"/>
      </rPr>
      <t xml:space="preserve">:</t>
    </r>
  </si>
  <si>
    <t xml:space="preserve">B. Emisiones de CO2 o equivalentes de CO2</t>
  </si>
  <si>
    <t xml:space="preserve">Emisiones de CO2 [t]/emisiones equivalentes de CO2 [t]</t>
  </si>
  <si>
    <t xml:space="preserve">Calefacción/refrigeración</t>
  </si>
  <si>
    <t xml:space="preserve">Biocombustible</t>
  </si>
  <si>
    <t xml:space="preserve">OTROS:</t>
  </si>
  <si>
    <t xml:space="preserve">Gestión de los residuos</t>
  </si>
  <si>
    <t xml:space="preserve">Gestión de las aguas residuales</t>
  </si>
  <si>
    <t xml:space="preserve">Especifique aquí sus otras emisiones </t>
  </si>
  <si>
    <t xml:space="preserve">Factores de emisión de CO2 correspondientes en [t/MWh]</t>
  </si>
  <si>
    <t xml:space="preserve">Factor de emisión de CO2 para la electricidad no producida localmente [t/MWh]</t>
  </si>
  <si>
    <t xml:space="preserve">C. Producción local de electricidad y emisiones correspondientes de CO2 o equivalentes de CO2</t>
  </si>
  <si>
    <t xml:space="preserve">Electricidad generada localmente (salvo las plantas incluidas en el régimen de comercio de derechos de emisión y todas las plantas/unidades &gt; 20 MW)</t>
  </si>
  <si>
    <t xml:space="preserve">Electricidad generada localmente [MWh]</t>
  </si>
  <si>
    <t xml:space="preserve">  Aportación del vector energético [MWh]</t>
  </si>
  <si>
    <t xml:space="preserve">Emisiones de CO2 / eq-CO2 [t]</t>
  </si>
  <si>
    <t xml:space="preserve">Factores de emisión de CO2 correspondientes a la producción de electricidad en [t/MWh]</t>
  </si>
  <si>
    <t xml:space="preserve">Vapor</t>
  </si>
  <si>
    <t xml:space="preserve">Residuos</t>
  </si>
  <si>
    <t xml:space="preserve">Otros tipos de renovables</t>
  </si>
  <si>
    <t xml:space="preserve">Otros</t>
  </si>
  <si>
    <t xml:space="preserve">Energía eólica</t>
  </si>
  <si>
    <t xml:space="preserve">Energía hidroeléctrica</t>
  </si>
  <si>
    <t xml:space="preserve">Cogeneración de calor y electricidad</t>
  </si>
  <si>
    <r>
      <rPr>
        <b val="true"/>
        <sz val="11"/>
        <rFont val="Calibri"/>
        <family val="2"/>
        <charset val="1"/>
      </rPr>
      <t xml:space="preserve">Otros
Especifíquense</t>
    </r>
    <r>
      <rPr>
        <b val="true"/>
        <i val="true"/>
        <sz val="11"/>
        <color rgb="FF808080"/>
        <rFont val="Calibri"/>
        <family val="2"/>
        <charset val="1"/>
      </rPr>
      <t xml:space="preserve">: _________________</t>
    </r>
    <r>
      <rPr>
        <b val="true"/>
        <i val="true"/>
        <sz val="11"/>
        <rFont val="Calibri"/>
        <family val="2"/>
        <charset val="1"/>
      </rPr>
      <t xml:space="preserve">  </t>
    </r>
    <r>
      <rPr>
        <b val="true"/>
        <sz val="11"/>
        <rFont val="Calibri"/>
        <family val="2"/>
        <charset val="1"/>
      </rPr>
      <t xml:space="preserve">                      </t>
    </r>
  </si>
  <si>
    <t xml:space="preserve">D. Producción local de calefacción/refrigeración (calefacción/refrigeración urbanas, cogeneración de calor y electricidad…) y emisiones de CO2 correspondientes</t>
  </si>
  <si>
    <t xml:space="preserve">Calefacción/refrigeración generadas localmente</t>
  </si>
  <si>
    <t xml:space="preserve">Calefacción/refrigeración generadas localmente [MWh]</t>
  </si>
  <si>
    <t xml:space="preserve">Factores de emisión de CO2 correspondientes a la producción de calefacción/refrigeración en [t/MWh]</t>
  </si>
  <si>
    <t xml:space="preserve">Plantas de calefacción urbana</t>
  </si>
  <si>
    <r>
      <rPr>
        <b val="true"/>
        <sz val="11"/>
        <rFont val="Calibri"/>
        <family val="2"/>
        <charset val="1"/>
      </rPr>
      <t xml:space="preserve">Otros
Especifíquense</t>
    </r>
    <r>
      <rPr>
        <b val="true"/>
        <i val="true"/>
        <sz val="11"/>
        <color rgb="FF808080"/>
        <rFont val="Calibri"/>
        <family val="2"/>
        <charset val="1"/>
      </rPr>
      <t xml:space="preserve">: _________________</t>
    </r>
  </si>
  <si>
    <t xml:space="preserve">4)</t>
  </si>
  <si>
    <t xml:space="preserve">Otros inventarios de emisiones de CO2</t>
  </si>
  <si>
    <t xml:space="preserve">Si se han elaborado otros inventarios, haga clic aquí para añadirlos.</t>
  </si>
  <si>
    <t xml:space="preserve">De lo contrario, pase a la última parte de la plantilla del PAES -&gt; dedicada a su Plan de Acción para la Energía Sostenible</t>
  </si>
  <si>
    <t xml:space="preserve">CLÁUSULA DE EXENCIÓN DE RESPONSABILIDAD: Los autores son los únicos responsables del contenido de la presente publicación, que no refleja necesariamente la opinión de la Comisión Europea. La Comisión Europea no es responsable del uso que pueda hacerse de la información contenida en ella.</t>
  </si>
  <si>
    <t xml:space="preserve">Más información: www.eumayors.eu.</t>
  </si>
</sst>
</file>

<file path=xl/styles.xml><?xml version="1.0" encoding="utf-8"?>
<styleSheet xmlns="http://schemas.openxmlformats.org/spreadsheetml/2006/main">
  <numFmts count="19">
    <numFmt numFmtId="164" formatCode="0\ %"/>
    <numFmt numFmtId="165" formatCode="General"/>
    <numFmt numFmtId="166" formatCode="_-* #,##0\ _€_-;\-* #,##0\ _€_-;_-* &quot;- &quot;_€_-;_-@_-"/>
    <numFmt numFmtId="167" formatCode="00000"/>
    <numFmt numFmtId="168" formatCode="#,##0"/>
    <numFmt numFmtId="169" formatCode="0.0%"/>
    <numFmt numFmtId="170" formatCode="0.0000"/>
    <numFmt numFmtId="171" formatCode="0.00"/>
    <numFmt numFmtId="172" formatCode="@"/>
    <numFmt numFmtId="173" formatCode="0"/>
    <numFmt numFmtId="174" formatCode="#,##0.00"/>
    <numFmt numFmtId="175" formatCode="0.00\ %"/>
    <numFmt numFmtId="176" formatCode="0.000%"/>
    <numFmt numFmtId="177" formatCode="#,##0.0000"/>
    <numFmt numFmtId="178" formatCode="#,##0.0"/>
    <numFmt numFmtId="179" formatCode="0.000"/>
    <numFmt numFmtId="180" formatCode="#,##0.000"/>
    <numFmt numFmtId="181" formatCode="0.00%"/>
    <numFmt numFmtId="182" formatCode="0.0"/>
  </numFmts>
  <fonts count="148">
    <font>
      <sz val="10"/>
      <name val="Arial"/>
      <family val="0"/>
      <charset val="1"/>
    </font>
    <font>
      <sz val="10"/>
      <name val="Arial"/>
      <family val="0"/>
    </font>
    <font>
      <sz val="10"/>
      <name val="Arial"/>
      <family val="0"/>
    </font>
    <font>
      <sz val="10"/>
      <name val="Arial"/>
      <family val="0"/>
    </font>
    <font>
      <sz val="10"/>
      <name val="Arial"/>
      <family val="2"/>
      <charset val="1"/>
    </font>
    <font>
      <u val="single"/>
      <sz val="11"/>
      <color rgb="FF0000FF"/>
      <name val="Calibri"/>
      <family val="2"/>
      <charset val="1"/>
    </font>
    <font>
      <u val="single"/>
      <sz val="10"/>
      <color rgb="FF0000FF"/>
      <name val="Arial"/>
      <family val="2"/>
      <charset val="1"/>
    </font>
    <font>
      <sz val="11"/>
      <color rgb="FF000000"/>
      <name val="Calibri"/>
      <family val="2"/>
      <charset val="1"/>
    </font>
    <font>
      <sz val="11"/>
      <color rgb="FF000000"/>
      <name val="Conduit ITC Light"/>
      <family val="2"/>
      <charset val="1"/>
    </font>
    <font>
      <sz val="10"/>
      <name val="Verdana"/>
      <family val="2"/>
      <charset val="1"/>
    </font>
    <font>
      <sz val="10"/>
      <color rgb="FF000000"/>
      <name val="Arial"/>
      <family val="2"/>
      <charset val="1"/>
    </font>
    <font>
      <sz val="10"/>
      <name val="Conduit ITC Light"/>
      <family val="0"/>
      <charset val="1"/>
    </font>
    <font>
      <b val="true"/>
      <i val="true"/>
      <sz val="22"/>
      <name val="Conduit ITC Light"/>
      <family val="0"/>
      <charset val="1"/>
    </font>
    <font>
      <b val="true"/>
      <i val="true"/>
      <sz val="16"/>
      <name val="Conduit ITC Light"/>
      <family val="0"/>
      <charset val="1"/>
    </font>
    <font>
      <sz val="16"/>
      <name val="Conduit ITC Light"/>
      <family val="0"/>
      <charset val="1"/>
    </font>
    <font>
      <b val="true"/>
      <sz val="20"/>
      <color rgb="FF9BBB59"/>
      <name val="Conduit ITC Light"/>
      <family val="0"/>
      <charset val="1"/>
    </font>
    <font>
      <sz val="10"/>
      <color rgb="FF9BBB59"/>
      <name val="Conduit ITC Light"/>
      <family val="0"/>
      <charset val="1"/>
    </font>
    <font>
      <sz val="10"/>
      <color rgb="FFFF0000"/>
      <name val="Conduit ITC Light"/>
      <family val="0"/>
      <charset val="1"/>
    </font>
    <font>
      <b val="true"/>
      <sz val="18"/>
      <name val="Conduit ITC Light"/>
      <family val="0"/>
      <charset val="1"/>
    </font>
    <font>
      <b val="true"/>
      <sz val="18"/>
      <color rgb="FFFF0000"/>
      <name val="Conduit ITC Light"/>
      <family val="0"/>
      <charset val="1"/>
    </font>
    <font>
      <b val="true"/>
      <sz val="10"/>
      <color rgb="FFFF0000"/>
      <name val="Conduit ITC Light"/>
      <family val="0"/>
      <charset val="1"/>
    </font>
    <font>
      <sz val="18"/>
      <name val="Conduit ITC Light"/>
      <family val="0"/>
      <charset val="1"/>
    </font>
    <font>
      <i val="true"/>
      <sz val="12"/>
      <color rgb="FFFF0000"/>
      <name val="Conduit ITC Light"/>
      <family val="0"/>
      <charset val="1"/>
    </font>
    <font>
      <b val="true"/>
      <sz val="20"/>
      <name val="Conduit ITC Light"/>
      <family val="0"/>
      <charset val="1"/>
    </font>
    <font>
      <b val="true"/>
      <sz val="20"/>
      <color rgb="FF8EB4E3"/>
      <name val="Conduit ITC Light"/>
      <family val="0"/>
      <charset val="1"/>
    </font>
    <font>
      <b val="true"/>
      <sz val="20"/>
      <color rgb="FFFF0000"/>
      <name val="Conduit ITC Light"/>
      <family val="0"/>
      <charset val="1"/>
    </font>
    <font>
      <b val="true"/>
      <sz val="8"/>
      <color rgb="FF000000"/>
      <name val="Tahoma"/>
      <family val="2"/>
      <charset val="1"/>
    </font>
    <font>
      <sz val="8"/>
      <color rgb="FF000000"/>
      <name val="Tahoma"/>
      <family val="2"/>
      <charset val="1"/>
    </font>
    <font>
      <b val="true"/>
      <sz val="10"/>
      <name val="Arial"/>
      <family val="2"/>
      <charset val="1"/>
    </font>
    <font>
      <sz val="10"/>
      <color rgb="FFFF0000"/>
      <name val="Arial"/>
      <family val="2"/>
      <charset val="1"/>
    </font>
    <font>
      <sz val="10"/>
      <color rgb="FF000000"/>
      <name val="Conduit ITC Light"/>
      <family val="0"/>
      <charset val="1"/>
    </font>
    <font>
      <b val="true"/>
      <sz val="12"/>
      <name val="Conduit ITC Light"/>
      <family val="0"/>
      <charset val="1"/>
    </font>
    <font>
      <b val="true"/>
      <sz val="10"/>
      <name val="Conduit ITC Light"/>
      <family val="0"/>
      <charset val="1"/>
    </font>
    <font>
      <b val="true"/>
      <sz val="10"/>
      <color rgb="FF000000"/>
      <name val="Conduit ITC Light"/>
      <family val="0"/>
      <charset val="1"/>
    </font>
    <font>
      <sz val="12"/>
      <name val="Conduit ITC Light"/>
      <family val="0"/>
      <charset val="1"/>
    </font>
    <font>
      <sz val="9"/>
      <color rgb="FFFF0000"/>
      <name val="Conduit ITC Light"/>
      <family val="0"/>
      <charset val="1"/>
    </font>
    <font>
      <sz val="10"/>
      <color rgb="FF000000"/>
      <name val="Calibri"/>
      <family val="2"/>
      <charset val="1"/>
    </font>
    <font>
      <sz val="10"/>
      <name val="Calibri"/>
      <family val="2"/>
      <charset val="1"/>
    </font>
    <font>
      <b val="true"/>
      <sz val="10"/>
      <color rgb="FF000000"/>
      <name val="Calibri"/>
      <family val="2"/>
      <charset val="1"/>
    </font>
    <font>
      <sz val="8"/>
      <name val="Conduit ITC Light"/>
      <family val="0"/>
      <charset val="1"/>
    </font>
    <font>
      <b val="true"/>
      <vertAlign val="superscript"/>
      <sz val="8"/>
      <name val="Conduit ITC Light"/>
      <family val="0"/>
      <charset val="1"/>
    </font>
    <font>
      <b val="true"/>
      <sz val="8"/>
      <name val="Conduit ITC Light"/>
      <family val="0"/>
      <charset val="1"/>
    </font>
    <font>
      <b val="true"/>
      <sz val="10"/>
      <name val="Calibri"/>
      <family val="2"/>
      <charset val="1"/>
    </font>
    <font>
      <b val="true"/>
      <sz val="10"/>
      <color rgb="FFFFFFFF"/>
      <name val="Conduit ITC Light"/>
      <family val="0"/>
      <charset val="1"/>
    </font>
    <font>
      <b val="true"/>
      <sz val="10"/>
      <color rgb="FFE46C0A"/>
      <name val="Conduit ITC Light"/>
      <family val="0"/>
      <charset val="1"/>
    </font>
    <font>
      <b val="true"/>
      <sz val="8"/>
      <color rgb="FFE46C0A"/>
      <name val="Conduit ITC Light"/>
      <family val="0"/>
      <charset val="1"/>
    </font>
    <font>
      <b val="true"/>
      <i val="true"/>
      <sz val="9"/>
      <color rgb="FFFF0000"/>
      <name val="Conduit ITC Light"/>
      <family val="0"/>
      <charset val="1"/>
    </font>
    <font>
      <b val="true"/>
      <i val="true"/>
      <sz val="9"/>
      <name val="Conduit ITC Light"/>
      <family val="0"/>
      <charset val="1"/>
    </font>
    <font>
      <b val="true"/>
      <sz val="8"/>
      <color rgb="FFFFFF00"/>
      <name val="Conduit ITC Light"/>
      <family val="0"/>
      <charset val="1"/>
    </font>
    <font>
      <b val="true"/>
      <sz val="9"/>
      <name val="Conduit ITC Light"/>
      <family val="0"/>
      <charset val="1"/>
    </font>
    <font>
      <b val="true"/>
      <sz val="10"/>
      <color rgb="FFFFFFFF"/>
      <name val="Arial"/>
      <family val="2"/>
      <charset val="1"/>
    </font>
    <font>
      <sz val="9"/>
      <name val="Conduit ITC Light"/>
      <family val="0"/>
      <charset val="1"/>
    </font>
    <font>
      <b val="true"/>
      <i val="true"/>
      <sz val="10"/>
      <name val="Conduit ITC Light"/>
      <family val="0"/>
      <charset val="1"/>
    </font>
    <font>
      <b val="true"/>
      <i val="true"/>
      <sz val="9"/>
      <color rgb="FF000000"/>
      <name val="Conduit ITC Light"/>
      <family val="0"/>
      <charset val="1"/>
    </font>
    <font>
      <sz val="11"/>
      <color rgb="FF0070C0"/>
      <name val="Conduit ITC Light"/>
      <family val="2"/>
      <charset val="1"/>
    </font>
    <font>
      <b val="true"/>
      <sz val="11"/>
      <name val="Conduit ITC Light"/>
      <family val="0"/>
      <charset val="1"/>
    </font>
    <font>
      <b val="true"/>
      <sz val="11"/>
      <color rgb="FF0070C0"/>
      <name val="Conduit ITC Light"/>
      <family val="0"/>
      <charset val="1"/>
    </font>
    <font>
      <sz val="11"/>
      <color rgb="FFFFFFFF"/>
      <name val="Conduit ITC Light"/>
      <family val="2"/>
      <charset val="1"/>
    </font>
    <font>
      <b val="true"/>
      <sz val="11"/>
      <color rgb="FF000000"/>
      <name val="Conduit ITC Light"/>
      <family val="0"/>
      <charset val="1"/>
    </font>
    <font>
      <sz val="11"/>
      <color rgb="FF000000"/>
      <name val="Conduit ITC Light"/>
      <family val="0"/>
      <charset val="1"/>
    </font>
    <font>
      <sz val="11"/>
      <name val="Conduit ITC Light"/>
      <family val="0"/>
      <charset val="1"/>
    </font>
    <font>
      <b val="true"/>
      <sz val="9"/>
      <color rgb="FF000000"/>
      <name val="Tahoma"/>
      <family val="2"/>
      <charset val="1"/>
    </font>
    <font>
      <sz val="9"/>
      <color rgb="FF000000"/>
      <name val="Tahoma"/>
      <family val="2"/>
      <charset val="1"/>
    </font>
    <font>
      <sz val="10"/>
      <color rgb="FFFFFFFF"/>
      <name val="Conduit ITC Light"/>
      <family val="0"/>
      <charset val="1"/>
    </font>
    <font>
      <b val="true"/>
      <i val="true"/>
      <sz val="10"/>
      <color rgb="FFFF0000"/>
      <name val="Conduit ITC Light"/>
      <family val="0"/>
      <charset val="1"/>
    </font>
    <font>
      <sz val="8"/>
      <color rgb="FF000000"/>
      <name val="Calibri"/>
      <family val="2"/>
    </font>
    <font>
      <b val="true"/>
      <sz val="10"/>
      <color rgb="FF000000"/>
      <name val="Calibri"/>
      <family val="2"/>
    </font>
    <font>
      <sz val="6.75"/>
      <color rgb="FF000000"/>
      <name val="Calibri"/>
      <family val="2"/>
    </font>
    <font>
      <sz val="10"/>
      <color rgb="FF000000"/>
      <name val="Calibri"/>
      <family val="2"/>
    </font>
    <font>
      <sz val="8"/>
      <color rgb="FFFF0000"/>
      <name val="Conduit ITC Light"/>
      <family val="0"/>
      <charset val="1"/>
    </font>
    <font>
      <b val="true"/>
      <sz val="8"/>
      <color rgb="FF000000"/>
      <name val="Arial"/>
      <family val="2"/>
    </font>
    <font>
      <sz val="10"/>
      <name val="Arial"/>
      <family val="2"/>
    </font>
    <font>
      <b val="true"/>
      <sz val="8"/>
      <color rgb="FF000000"/>
      <name val="Calibri"/>
      <family val="2"/>
    </font>
    <font>
      <b val="true"/>
      <sz val="10"/>
      <color rgb="FF000000"/>
      <name val="Arial"/>
      <family val="2"/>
    </font>
    <font>
      <sz val="8.45"/>
      <color rgb="FF000000"/>
      <name val="Calibri"/>
      <family val="2"/>
    </font>
    <font>
      <sz val="9"/>
      <color rgb="FF000000"/>
      <name val="Calibri"/>
      <family val="2"/>
    </font>
    <font>
      <sz val="8"/>
      <name val="Calibri"/>
      <family val="2"/>
      <charset val="1"/>
    </font>
    <font>
      <b val="true"/>
      <sz val="8"/>
      <name val="Calibri"/>
      <family val="2"/>
      <charset val="1"/>
    </font>
    <font>
      <b val="true"/>
      <sz val="8"/>
      <color rgb="FFFF0000"/>
      <name val="Conduit ITC Light"/>
      <family val="0"/>
      <charset val="1"/>
    </font>
    <font>
      <i val="true"/>
      <vertAlign val="subscript"/>
      <sz val="8"/>
      <color rgb="FFFFFFFF"/>
      <name val="Conduit ITC Light"/>
      <family val="0"/>
      <charset val="1"/>
    </font>
    <font>
      <vertAlign val="subscript"/>
      <sz val="8"/>
      <color rgb="FFFFFFFF"/>
      <name val="Conduit ITC Light"/>
      <family val="0"/>
      <charset val="1"/>
    </font>
    <font>
      <sz val="8"/>
      <color rgb="FFFFFFFF"/>
      <name val="Conduit ITC Light"/>
      <family val="0"/>
      <charset val="1"/>
    </font>
    <font>
      <b val="true"/>
      <i val="true"/>
      <sz val="8"/>
      <name val="Calibri"/>
      <family val="2"/>
      <charset val="1"/>
    </font>
    <font>
      <sz val="8"/>
      <color rgb="FFFFFFFF"/>
      <name val="Calibri"/>
      <family val="2"/>
      <charset val="1"/>
    </font>
    <font>
      <b val="true"/>
      <sz val="8"/>
      <color rgb="FFFFFFFF"/>
      <name val="Calibri"/>
      <family val="2"/>
      <charset val="1"/>
    </font>
    <font>
      <b val="true"/>
      <sz val="8"/>
      <color rgb="FFFFFFFF"/>
      <name val="Conduit ITC Light"/>
      <family val="0"/>
      <charset val="1"/>
    </font>
    <font>
      <b val="true"/>
      <sz val="8.4"/>
      <color rgb="FF000000"/>
      <name val="Calibri"/>
      <family val="2"/>
    </font>
    <font>
      <b val="true"/>
      <sz val="7"/>
      <color rgb="FF000000"/>
      <name val="Calibri"/>
      <family val="2"/>
    </font>
    <font>
      <sz val="7"/>
      <color rgb="FF000000"/>
      <name val="Calibri"/>
      <family val="2"/>
    </font>
    <font>
      <b val="true"/>
      <sz val="7.2"/>
      <color rgb="FF000000"/>
      <name val="Calibri"/>
      <family val="2"/>
    </font>
    <font>
      <sz val="6"/>
      <color rgb="FF000000"/>
      <name val="Calibri"/>
      <family val="2"/>
    </font>
    <font>
      <vertAlign val="superscript"/>
      <sz val="8"/>
      <color rgb="FFFFFFFF"/>
      <name val="Conduit ITC Light"/>
      <family val="0"/>
      <charset val="1"/>
    </font>
    <font>
      <sz val="10"/>
      <color rgb="FF000000"/>
      <name val="Conduit ITC Light"/>
      <family val="2"/>
    </font>
    <font>
      <b val="true"/>
      <sz val="10"/>
      <color rgb="FFFFFFFF"/>
      <name val="Calibri"/>
      <family val="2"/>
      <charset val="1"/>
    </font>
    <font>
      <b val="true"/>
      <vertAlign val="superscript"/>
      <sz val="10"/>
      <color rgb="FFFFFFFF"/>
      <name val="Calibri"/>
      <family val="2"/>
      <charset val="1"/>
    </font>
    <font>
      <sz val="10"/>
      <color rgb="FFFFFFFF"/>
      <name val="Calibri"/>
      <family val="2"/>
      <charset val="1"/>
    </font>
    <font>
      <b val="true"/>
      <sz val="10"/>
      <color rgb="FFFF0000"/>
      <name val="Arial"/>
      <family val="2"/>
      <charset val="1"/>
    </font>
    <font>
      <b val="true"/>
      <sz val="8"/>
      <name val="Arial"/>
      <family val="2"/>
      <charset val="1"/>
    </font>
    <font>
      <sz val="8"/>
      <name val="Arial"/>
      <family val="2"/>
      <charset val="1"/>
    </font>
    <font>
      <b val="true"/>
      <vertAlign val="subscript"/>
      <sz val="9"/>
      <color rgb="FFFFFFFF"/>
      <name val="Arial"/>
      <family val="2"/>
      <charset val="1"/>
    </font>
    <font>
      <b val="true"/>
      <sz val="9"/>
      <color rgb="FFFFFFFF"/>
      <name val="Arial"/>
      <family val="2"/>
      <charset val="1"/>
    </font>
    <font>
      <b val="true"/>
      <sz val="9"/>
      <color rgb="FF000000"/>
      <name val="Arial"/>
      <family val="2"/>
      <charset val="1"/>
    </font>
    <font>
      <sz val="9"/>
      <color rgb="FF000000"/>
      <name val="Arial"/>
      <family val="2"/>
      <charset val="1"/>
    </font>
    <font>
      <sz val="9"/>
      <color rgb="FFFF0000"/>
      <name val="Arial"/>
      <family val="2"/>
      <charset val="1"/>
    </font>
    <font>
      <sz val="9"/>
      <color rgb="FFFFFFFF"/>
      <name val="Arial"/>
      <family val="2"/>
      <charset val="1"/>
    </font>
    <font>
      <b val="true"/>
      <sz val="11"/>
      <color rgb="FF000000"/>
      <name val="Calibri"/>
      <family val="2"/>
      <charset val="1"/>
    </font>
    <font>
      <u val="single"/>
      <sz val="11"/>
      <color rgb="FF0000FF"/>
      <name val="Conduit ITC Light"/>
      <family val="2"/>
      <charset val="1"/>
    </font>
    <font>
      <sz val="10"/>
      <color rgb="FFFFFFFF"/>
      <name val="Arial"/>
      <family val="2"/>
      <charset val="1"/>
    </font>
    <font>
      <sz val="9"/>
      <name val="Arial"/>
      <family val="2"/>
      <charset val="1"/>
    </font>
    <font>
      <b val="true"/>
      <i val="true"/>
      <sz val="10"/>
      <color rgb="FFFF0000"/>
      <name val="Arial"/>
      <family val="2"/>
      <charset val="1"/>
    </font>
    <font>
      <b val="true"/>
      <sz val="9"/>
      <color rgb="FF000000"/>
      <name val="Conduit ITC Light"/>
      <family val="0"/>
      <charset val="1"/>
    </font>
    <font>
      <b val="true"/>
      <sz val="14"/>
      <color rgb="FF000000"/>
      <name val="Calibri"/>
      <family val="2"/>
      <charset val="1"/>
    </font>
    <font>
      <b val="true"/>
      <sz val="12"/>
      <name val="Humnst777 Lt BT"/>
      <family val="2"/>
      <charset val="1"/>
    </font>
    <font>
      <sz val="11"/>
      <name val="Humnst777 Lt BT"/>
      <family val="2"/>
      <charset val="1"/>
    </font>
    <font>
      <sz val="12"/>
      <name val="Humnst777 Lt BT"/>
      <family val="2"/>
      <charset val="1"/>
    </font>
    <font>
      <b val="true"/>
      <i val="true"/>
      <sz val="12"/>
      <color rgb="FFFF0000"/>
      <name val="Humnst777 Lt BT"/>
      <family val="0"/>
      <charset val="1"/>
    </font>
    <font>
      <b val="true"/>
      <sz val="14"/>
      <color rgb="FF000000"/>
      <name val="Calibri"/>
      <family val="2"/>
    </font>
    <font>
      <b val="true"/>
      <sz val="26"/>
      <color rgb="FFFFFFFF"/>
      <name val="Calibri"/>
      <family val="2"/>
      <charset val="1"/>
    </font>
    <font>
      <sz val="11"/>
      <name val="Calibri"/>
      <family val="2"/>
      <charset val="1"/>
    </font>
    <font>
      <b val="true"/>
      <sz val="18"/>
      <color rgb="FF33CCCC"/>
      <name val="Calibri"/>
      <family val="2"/>
      <charset val="1"/>
    </font>
    <font>
      <b val="true"/>
      <sz val="12"/>
      <name val="Calibri"/>
      <family val="2"/>
      <charset val="1"/>
    </font>
    <font>
      <b val="true"/>
      <sz val="12"/>
      <color rgb="FF33CCCC"/>
      <name val="Calibri"/>
      <family val="2"/>
      <charset val="1"/>
    </font>
    <font>
      <b val="true"/>
      <sz val="11"/>
      <name val="Calibri"/>
      <family val="2"/>
      <charset val="1"/>
    </font>
    <font>
      <b val="true"/>
      <u val="single"/>
      <sz val="11"/>
      <color rgb="FF0000FF"/>
      <name val="Calibri"/>
      <family val="2"/>
      <charset val="1"/>
    </font>
    <font>
      <strike val="true"/>
      <sz val="10"/>
      <name val="Calibri"/>
      <family val="2"/>
      <charset val="1"/>
    </font>
    <font>
      <i val="true"/>
      <sz val="11"/>
      <color rgb="FF808080"/>
      <name val="Calibri"/>
      <family val="2"/>
      <charset val="1"/>
    </font>
    <font>
      <b val="true"/>
      <sz val="16"/>
      <color rgb="FFFF6600"/>
      <name val="Calibri"/>
      <family val="2"/>
      <charset val="1"/>
    </font>
    <font>
      <b val="true"/>
      <sz val="12"/>
      <color rgb="FFFF0000"/>
      <name val="Calibri"/>
      <family val="2"/>
      <charset val="1"/>
    </font>
    <font>
      <sz val="11"/>
      <color rgb="FFFF0000"/>
      <name val="Calibri"/>
      <family val="2"/>
      <charset val="1"/>
    </font>
    <font>
      <i val="true"/>
      <sz val="11"/>
      <color rgb="FFFF0000"/>
      <name val="Calibri"/>
      <family val="2"/>
      <charset val="1"/>
    </font>
    <font>
      <sz val="16"/>
      <color rgb="FF3366FF"/>
      <name val="Calibri"/>
      <family val="2"/>
      <charset val="1"/>
    </font>
    <font>
      <sz val="10"/>
      <color rgb="FF3366FF"/>
      <name val="Calibri"/>
      <family val="2"/>
      <charset val="1"/>
    </font>
    <font>
      <b val="true"/>
      <sz val="12"/>
      <color rgb="FFFFFFFF"/>
      <name val="Calibri"/>
      <family val="2"/>
      <charset val="1"/>
    </font>
    <font>
      <sz val="11"/>
      <color rgb="FFFFFFFF"/>
      <name val="Calibri"/>
      <family val="2"/>
      <charset val="1"/>
    </font>
    <font>
      <sz val="9"/>
      <color rgb="FF008000"/>
      <name val="Calibri"/>
      <family val="2"/>
      <charset val="1"/>
    </font>
    <font>
      <sz val="10"/>
      <color rgb="FF008000"/>
      <name val="Calibri"/>
      <family val="2"/>
      <charset val="1"/>
    </font>
    <font>
      <b val="true"/>
      <i val="true"/>
      <sz val="11"/>
      <color rgb="FF808080"/>
      <name val="Calibri"/>
      <family val="2"/>
      <charset val="1"/>
    </font>
    <font>
      <sz val="10"/>
      <color rgb="FFFF0000"/>
      <name val="Calibri"/>
      <family val="2"/>
      <charset val="1"/>
    </font>
    <font>
      <b val="true"/>
      <i val="true"/>
      <sz val="11"/>
      <name val="Calibri"/>
      <family val="2"/>
      <charset val="1"/>
    </font>
    <font>
      <sz val="10"/>
      <color rgb="FF808080"/>
      <name val="Calibri"/>
      <family val="2"/>
      <charset val="1"/>
    </font>
    <font>
      <sz val="11"/>
      <color rgb="FF808080"/>
      <name val="Calibri"/>
      <family val="2"/>
      <charset val="1"/>
    </font>
    <font>
      <sz val="9"/>
      <name val="Calibri"/>
      <family val="2"/>
      <charset val="1"/>
    </font>
    <font>
      <b val="true"/>
      <u val="single"/>
      <sz val="12"/>
      <color rgb="FF0000FF"/>
      <name val="Calibri"/>
      <family val="2"/>
      <charset val="1"/>
    </font>
    <font>
      <b val="true"/>
      <i val="true"/>
      <u val="single"/>
      <sz val="12"/>
      <color rgb="FF808080"/>
      <name val="Calibri"/>
      <family val="2"/>
      <charset val="1"/>
    </font>
    <font>
      <i val="true"/>
      <sz val="11"/>
      <name val="Calibri"/>
      <family val="2"/>
      <charset val="1"/>
    </font>
    <font>
      <sz val="12"/>
      <name val="Calibri"/>
      <family val="2"/>
      <charset val="1"/>
    </font>
    <font>
      <u val="single"/>
      <sz val="12"/>
      <color rgb="FF0000FF"/>
      <name val="Calibri"/>
      <family val="2"/>
      <charset val="1"/>
    </font>
    <font>
      <b val="true"/>
      <sz val="16"/>
      <color rgb="FFE46C0A"/>
      <name val="Calibri"/>
      <family val="0"/>
    </font>
  </fonts>
  <fills count="30">
    <fill>
      <patternFill patternType="none"/>
    </fill>
    <fill>
      <patternFill patternType="gray125"/>
    </fill>
    <fill>
      <patternFill patternType="solid">
        <fgColor rgb="FFFFFFFF"/>
        <bgColor rgb="FFF2F2F2"/>
      </patternFill>
    </fill>
    <fill>
      <patternFill patternType="solid">
        <fgColor rgb="FFC3D69B"/>
        <bgColor rgb="FFDDD9C3"/>
      </patternFill>
    </fill>
    <fill>
      <patternFill patternType="solid">
        <fgColor rgb="FFFAC090"/>
        <bgColor rgb="FFFFC7CE"/>
      </patternFill>
    </fill>
    <fill>
      <patternFill patternType="solid">
        <fgColor rgb="FFF2F2F2"/>
        <bgColor rgb="FFEBF1DE"/>
      </patternFill>
    </fill>
    <fill>
      <patternFill patternType="solid">
        <fgColor rgb="FFD9D9D9"/>
        <bgColor rgb="FFDDD9C3"/>
      </patternFill>
    </fill>
    <fill>
      <patternFill patternType="solid">
        <fgColor rgb="FF8EB4E3"/>
        <bgColor rgb="FF95B3D7"/>
      </patternFill>
    </fill>
    <fill>
      <patternFill patternType="solid">
        <fgColor rgb="FFDDD9C3"/>
        <bgColor rgb="FFD9D9D9"/>
      </patternFill>
    </fill>
    <fill>
      <patternFill patternType="solid">
        <fgColor rgb="FF95B3D7"/>
        <bgColor rgb="FF8EB4E3"/>
      </patternFill>
    </fill>
    <fill>
      <patternFill patternType="solid">
        <fgColor rgb="FFD99694"/>
        <bgColor rgb="FFD09493"/>
      </patternFill>
    </fill>
    <fill>
      <patternFill patternType="solid">
        <fgColor rgb="FFF2DCDB"/>
        <bgColor rgb="FFFDEADA"/>
      </patternFill>
    </fill>
    <fill>
      <patternFill patternType="solid">
        <fgColor rgb="FFCCC1DA"/>
        <bgColor rgb="FFC0C0C0"/>
      </patternFill>
    </fill>
    <fill>
      <patternFill patternType="solid">
        <fgColor rgb="FFFFFF00"/>
        <bgColor rgb="FFFFC000"/>
      </patternFill>
    </fill>
    <fill>
      <patternFill patternType="solid">
        <fgColor rgb="FFB7DEE8"/>
        <bgColor rgb="FFC6EFCE"/>
      </patternFill>
    </fill>
    <fill>
      <patternFill patternType="solid">
        <fgColor rgb="FF92D050"/>
        <bgColor rgb="FF9BBB59"/>
      </patternFill>
    </fill>
    <fill>
      <patternFill patternType="solid">
        <fgColor rgb="FFDCE6F2"/>
        <bgColor rgb="FFD9D9D9"/>
      </patternFill>
    </fill>
    <fill>
      <patternFill patternType="solid">
        <fgColor rgb="FF0070C0"/>
        <bgColor rgb="FF00697A"/>
      </patternFill>
    </fill>
    <fill>
      <patternFill patternType="solid">
        <fgColor rgb="FFFDEADA"/>
        <bgColor rgb="FFEBF1DE"/>
      </patternFill>
    </fill>
    <fill>
      <patternFill patternType="solid">
        <fgColor rgb="FFFF0000"/>
        <bgColor rgb="FFC00000"/>
      </patternFill>
    </fill>
    <fill>
      <patternFill patternType="solid">
        <fgColor rgb="FFFFC000"/>
        <bgColor rgb="FFF79645"/>
      </patternFill>
    </fill>
    <fill>
      <patternFill patternType="solid">
        <fgColor rgb="FF00B050"/>
        <bgColor rgb="FF008000"/>
      </patternFill>
    </fill>
    <fill>
      <patternFill patternType="solid">
        <fgColor rgb="FF37849B"/>
        <bgColor rgb="FF31849B"/>
      </patternFill>
    </fill>
    <fill>
      <patternFill patternType="solid">
        <fgColor rgb="FFEBF1DE"/>
        <bgColor rgb="FFF2F2F2"/>
      </patternFill>
    </fill>
    <fill>
      <patternFill patternType="solid">
        <fgColor rgb="FF31849B"/>
        <bgColor rgb="FF37849B"/>
      </patternFill>
    </fill>
    <fill>
      <patternFill patternType="solid">
        <fgColor rgb="FFCCFFFF"/>
        <bgColor rgb="FFC6EFCE"/>
      </patternFill>
    </fill>
    <fill>
      <patternFill patternType="solid">
        <fgColor rgb="FF003366"/>
        <bgColor rgb="FF00697A"/>
      </patternFill>
    </fill>
    <fill>
      <patternFill patternType="solid">
        <fgColor rgb="FF99CC00"/>
        <bgColor rgb="FF92D050"/>
      </patternFill>
    </fill>
    <fill>
      <patternFill patternType="solid">
        <fgColor rgb="FFC0C0C0"/>
        <bgColor rgb="FFCCC1DA"/>
      </patternFill>
    </fill>
    <fill>
      <patternFill patternType="solid">
        <fgColor rgb="FF33CCCC"/>
        <bgColor rgb="FF4AACC8"/>
      </patternFill>
    </fill>
  </fills>
  <borders count="16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style="medium"/>
      <top style="medium"/>
      <bottom style="mediu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thin"/>
      <right/>
      <top/>
      <bottom/>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diagonal/>
    </border>
    <border diagonalUp="false" diagonalDown="false">
      <left style="thin"/>
      <right/>
      <top style="thin"/>
      <bottom style="thin"/>
      <diagonal/>
    </border>
    <border diagonalUp="false" diagonalDown="false">
      <left style="medium"/>
      <right style="thin"/>
      <top style="medium"/>
      <bottom style="thin"/>
      <diagonal/>
    </border>
    <border diagonalUp="false" diagonalDown="false">
      <left style="thin"/>
      <right/>
      <top style="medium"/>
      <bottom/>
      <diagonal/>
    </border>
    <border diagonalUp="false" diagonalDown="false">
      <left style="medium"/>
      <right style="thin"/>
      <top style="thin"/>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style="thin"/>
      <bottom style="thin"/>
      <diagonal/>
    </border>
    <border diagonalUp="false" diagonalDown="false">
      <left style="thin">
        <color rgb="FF00697A"/>
      </left>
      <right style="thin">
        <color rgb="FF00697A"/>
      </right>
      <top style="thin">
        <color rgb="FF00697A"/>
      </top>
      <bottom/>
      <diagonal/>
    </border>
    <border diagonalUp="false" diagonalDown="false">
      <left/>
      <right/>
      <top style="thin">
        <color rgb="FF00697A"/>
      </top>
      <bottom/>
      <diagonal/>
    </border>
    <border diagonalUp="false" diagonalDown="false">
      <left style="thin">
        <color rgb="FF00697A"/>
      </left>
      <right/>
      <top style="thin">
        <color rgb="FF00697A"/>
      </top>
      <bottom/>
      <diagonal/>
    </border>
    <border diagonalUp="false" diagonalDown="false">
      <left style="thin">
        <color rgb="FF00697A"/>
      </left>
      <right/>
      <top style="thin">
        <color rgb="FF00697A"/>
      </top>
      <bottom style="thin">
        <color rgb="FF00697A"/>
      </bottom>
      <diagonal/>
    </border>
    <border diagonalUp="false" diagonalDown="false">
      <left style="thin">
        <color rgb="FF00697A"/>
      </left>
      <right style="thin">
        <color rgb="FF00697A"/>
      </right>
      <top style="thin">
        <color rgb="FF00697A"/>
      </top>
      <bottom style="thin">
        <color rgb="FF00697A"/>
      </bottom>
      <diagonal/>
    </border>
    <border diagonalUp="false" diagonalDown="false">
      <left/>
      <right/>
      <top style="thin">
        <color rgb="FF00697A"/>
      </top>
      <bottom style="thin">
        <color rgb="FF00697A"/>
      </bottom>
      <diagonal/>
    </border>
    <border diagonalUp="false" diagonalDown="false">
      <left style="thin">
        <color rgb="FF00697A"/>
      </left>
      <right/>
      <top/>
      <bottom style="thin">
        <color rgb="FF00697A"/>
      </bottom>
      <diagonal/>
    </border>
    <border diagonalUp="false" diagonalDown="false">
      <left style="thin">
        <color rgb="FF00697A"/>
      </left>
      <right style="thin">
        <color rgb="FF00697A"/>
      </right>
      <top/>
      <bottom style="thin">
        <color rgb="FF00697A"/>
      </bottom>
      <diagonal/>
    </border>
    <border diagonalUp="false" diagonalDown="false">
      <left/>
      <right/>
      <top/>
      <bottom style="thin">
        <color rgb="FF00697A"/>
      </bottom>
      <diagonal/>
    </border>
    <border diagonalUp="false" diagonalDown="false">
      <left/>
      <right style="thin">
        <color rgb="FF00697A"/>
      </right>
      <top/>
      <bottom style="thin">
        <color rgb="FF00697A"/>
      </bottom>
      <diagonal/>
    </border>
    <border diagonalUp="false" diagonalDown="false">
      <left style="medium"/>
      <right style="thin"/>
      <top style="thin"/>
      <bottom style="medium"/>
      <diagonal/>
    </border>
    <border diagonalUp="false" diagonalDown="false">
      <left style="thin"/>
      <right/>
      <top style="thin"/>
      <bottom/>
      <diagonal/>
    </border>
    <border diagonalUp="false" diagonalDown="false">
      <left/>
      <right/>
      <top style="thin"/>
      <bottom/>
      <diagonal/>
    </border>
    <border diagonalUp="false" diagonalDown="false">
      <left style="medium">
        <color rgb="FF31849B"/>
      </left>
      <right style="medium">
        <color rgb="FFFFFFFF"/>
      </right>
      <top style="medium">
        <color rgb="FF31849B"/>
      </top>
      <bottom style="medium">
        <color rgb="FF31849B"/>
      </bottom>
      <diagonal/>
    </border>
    <border diagonalUp="false" diagonalDown="false">
      <left style="medium">
        <color rgb="FFFFFFFF"/>
      </left>
      <right style="medium">
        <color rgb="FFFFFFFF"/>
      </right>
      <top style="medium">
        <color rgb="FF31849B"/>
      </top>
      <bottom style="medium">
        <color rgb="FFFFFFFF"/>
      </bottom>
      <diagonal/>
    </border>
    <border diagonalUp="false" diagonalDown="false">
      <left style="medium">
        <color rgb="FFFFFFFF"/>
      </left>
      <right style="medium">
        <color rgb="FFFFFFFF"/>
      </right>
      <top style="medium">
        <color rgb="FF31849B"/>
      </top>
      <bottom style="medium">
        <color rgb="FF31849B"/>
      </bottom>
      <diagonal/>
    </border>
    <border diagonalUp="false" diagonalDown="false">
      <left style="medium">
        <color rgb="FFFFFFFF"/>
      </left>
      <right style="medium">
        <color rgb="FF31849B"/>
      </right>
      <top style="medium">
        <color rgb="FF31849B"/>
      </top>
      <bottom style="medium">
        <color rgb="FF31849B"/>
      </bottom>
      <diagonal/>
    </border>
    <border diagonalUp="false" diagonalDown="false">
      <left/>
      <right style="medium">
        <color rgb="FFFFFFFF"/>
      </right>
      <top/>
      <bottom style="medium">
        <color rgb="FFFFFFFF"/>
      </bottom>
      <diagonal/>
    </border>
    <border diagonalUp="false" diagonalDown="false">
      <left/>
      <right style="medium">
        <color rgb="FFFFFFFF"/>
      </right>
      <top style="medium">
        <color rgb="FFFFFFFF"/>
      </top>
      <bottom style="medium">
        <color rgb="FFFFFFFF"/>
      </bottom>
      <diagonal/>
    </border>
    <border diagonalUp="false" diagonalDown="false">
      <left/>
      <right style="medium">
        <color rgb="FFFFFFFF"/>
      </right>
      <top/>
      <bottom style="medium">
        <color rgb="FF31849B"/>
      </bottom>
      <diagonal/>
    </border>
    <border diagonalUp="false" diagonalDown="false">
      <left style="medium">
        <color rgb="FF31849B"/>
      </left>
      <right style="medium">
        <color rgb="FF31849B"/>
      </right>
      <top style="medium">
        <color rgb="FF31849B"/>
      </top>
      <bottom/>
      <diagonal/>
    </border>
    <border diagonalUp="false" diagonalDown="false">
      <left/>
      <right style="medium">
        <color rgb="FF31849B"/>
      </right>
      <top/>
      <bottom style="medium">
        <color rgb="FF31849B"/>
      </bottom>
      <diagonal/>
    </border>
    <border diagonalUp="false" diagonalDown="false">
      <left style="medium">
        <color rgb="FF31849B"/>
      </left>
      <right style="medium">
        <color rgb="FF31849B"/>
      </right>
      <top/>
      <bottom style="medium">
        <color rgb="FF31849B"/>
      </bottom>
      <diagonal/>
    </border>
    <border diagonalUp="false" diagonalDown="false">
      <left style="medium">
        <color rgb="FF31849B"/>
      </left>
      <right style="medium">
        <color rgb="FF31849B"/>
      </right>
      <top style="medium">
        <color rgb="FF31849B"/>
      </top>
      <bottom style="medium">
        <color rgb="FFFFFFFF"/>
      </bottom>
      <diagonal/>
    </border>
    <border diagonalUp="false" diagonalDown="false">
      <left/>
      <right style="medium">
        <color rgb="FF31849B"/>
      </right>
      <top/>
      <bottom style="medium">
        <color rgb="FFFFFFFF"/>
      </bottom>
      <diagonal/>
    </border>
    <border diagonalUp="false" diagonalDown="false">
      <left style="medium">
        <color rgb="FF31849B"/>
      </left>
      <right style="medium">
        <color rgb="FF31849B"/>
      </right>
      <top style="medium">
        <color rgb="FFFFFFFF"/>
      </top>
      <bottom/>
      <diagonal/>
    </border>
    <border diagonalUp="false" diagonalDown="false">
      <left style="medium">
        <color rgb="FF31849B"/>
      </left>
      <right style="medium">
        <color rgb="FF31849B"/>
      </right>
      <top style="thin"/>
      <bottom/>
      <diagonal/>
    </border>
    <border diagonalUp="false" diagonalDown="false">
      <left/>
      <right style="medium">
        <color rgb="FF31849B"/>
      </right>
      <top/>
      <bottom style="thick">
        <color rgb="FF31849B"/>
      </bottom>
      <diagonal/>
    </border>
    <border diagonalUp="false" diagonalDown="false">
      <left style="medium">
        <color rgb="FF31849B"/>
      </left>
      <right style="medium">
        <color rgb="FF31849B"/>
      </right>
      <top style="thin"/>
      <bottom style="thick">
        <color rgb="FF31849B"/>
      </bottom>
      <diagonal/>
    </border>
    <border diagonalUp="false" diagonalDown="false">
      <left style="medium">
        <color rgb="FF31849B"/>
      </left>
      <right style="medium">
        <color rgb="FF31849B"/>
      </right>
      <top style="thick">
        <color rgb="FF31849B"/>
      </top>
      <bottom style="thick">
        <color rgb="FF31849B"/>
      </bottom>
      <diagonal/>
    </border>
    <border diagonalUp="false" diagonalDown="false">
      <left style="medium">
        <color rgb="FF31849B"/>
      </left>
      <right style="medium">
        <color rgb="FF31849B"/>
      </right>
      <top style="thick">
        <color rgb="FF31849B"/>
      </top>
      <bottom/>
      <diagonal/>
    </border>
    <border diagonalUp="false" diagonalDown="false">
      <left style="medium">
        <color rgb="FF31849B"/>
      </left>
      <right style="medium">
        <color rgb="FF31849B"/>
      </right>
      <top style="medium">
        <color rgb="FF31849B"/>
      </top>
      <bottom style="medium">
        <color rgb="FF31849B"/>
      </bottom>
      <diagonal/>
    </border>
    <border diagonalUp="false" diagonalDown="false">
      <left style="medium">
        <color rgb="FF31849B"/>
      </left>
      <right style="medium">
        <color rgb="FF31849B"/>
      </right>
      <top style="medium">
        <color rgb="FF31849B"/>
      </top>
      <bottom style="thick">
        <color rgb="FF31849B"/>
      </bottom>
      <diagonal/>
    </border>
    <border diagonalUp="false" diagonalDown="false">
      <left style="medium">
        <color rgb="FF31849B"/>
      </left>
      <right style="medium">
        <color rgb="FF31849B"/>
      </right>
      <top style="thick">
        <color rgb="FF31849B"/>
      </top>
      <bottom style="medium">
        <color rgb="FF31849B"/>
      </bottom>
      <diagonal/>
    </border>
    <border diagonalUp="false" diagonalDown="false">
      <left style="medium"/>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hair"/>
      <right style="thin"/>
      <top style="medium"/>
      <bottom style="hair"/>
      <diagonal/>
    </border>
    <border diagonalUp="false" diagonalDown="false">
      <left style="hair"/>
      <right/>
      <top style="medium"/>
      <bottom/>
      <diagonal/>
    </border>
    <border diagonalUp="false" diagonalDown="false">
      <left style="thin"/>
      <right style="thin"/>
      <top style="hair"/>
      <bottom style="hair"/>
      <diagonal/>
    </border>
    <border diagonalUp="false" diagonalDown="false">
      <left style="hair"/>
      <right style="thin"/>
      <top style="hair"/>
      <bottom style="hair"/>
      <diagonal/>
    </border>
    <border diagonalUp="false" diagonalDown="false">
      <left style="hair"/>
      <right/>
      <top style="hair"/>
      <bottom style="hair"/>
      <diagonal/>
    </border>
    <border diagonalUp="false" diagonalDown="false">
      <left/>
      <right style="thin"/>
      <top/>
      <bottom/>
      <diagonal/>
    </border>
    <border diagonalUp="false" diagonalDown="false">
      <left style="hair"/>
      <right style="thin"/>
      <top/>
      <bottom style="hair"/>
      <diagonal/>
    </border>
    <border diagonalUp="false" diagonalDown="false">
      <left style="hair"/>
      <right/>
      <top style="hair"/>
      <bottom style="medium"/>
      <diagonal/>
    </border>
    <border diagonalUp="false" diagonalDown="false">
      <left style="thin"/>
      <right style="thin"/>
      <top style="medium"/>
      <bottom style="hair"/>
      <diagonal/>
    </border>
    <border diagonalUp="false" diagonalDown="false">
      <left/>
      <right style="thin"/>
      <top style="medium"/>
      <bottom/>
      <diagonal/>
    </border>
    <border diagonalUp="false" diagonalDown="false">
      <left style="hair"/>
      <right/>
      <top/>
      <bottom style="hair"/>
      <diagonal/>
    </border>
    <border diagonalUp="false" diagonalDown="false">
      <left style="thin"/>
      <right style="thin"/>
      <top style="hair"/>
      <bottom style="medium"/>
      <diagonal/>
    </border>
    <border diagonalUp="false" diagonalDown="false">
      <left style="thin"/>
      <right/>
      <top style="medium"/>
      <bottom style="hair"/>
      <diagonal/>
    </border>
    <border diagonalUp="false" diagonalDown="false">
      <left style="hair"/>
      <right style="thin"/>
      <top style="hair"/>
      <bottom/>
      <diagonal/>
    </border>
    <border diagonalUp="false" diagonalDown="false">
      <left style="thin"/>
      <right/>
      <top style="hair"/>
      <bottom style="hair"/>
      <diagonal/>
    </border>
    <border diagonalUp="false" diagonalDown="false">
      <left style="thin"/>
      <right/>
      <top/>
      <bottom style="medium"/>
      <diagonal/>
    </border>
    <border diagonalUp="false" diagonalDown="false">
      <left style="hair"/>
      <right style="thin"/>
      <top/>
      <bottom style="medium"/>
      <diagonal/>
    </border>
    <border diagonalUp="false" diagonalDown="false">
      <left style="hair"/>
      <right/>
      <top/>
      <bottom/>
      <diagonal/>
    </border>
    <border diagonalUp="false" diagonalDown="false">
      <left style="hair"/>
      <right style="thin"/>
      <top style="hair"/>
      <bottom style="medium"/>
      <diagonal/>
    </border>
    <border diagonalUp="false" diagonalDown="false">
      <left style="hair"/>
      <right/>
      <top/>
      <bottom style="medium"/>
      <diagonal/>
    </border>
    <border diagonalUp="false" diagonalDown="false">
      <left style="hair"/>
      <right style="thin"/>
      <top/>
      <bottom/>
      <diagonal/>
    </border>
    <border diagonalUp="false" diagonalDown="false">
      <left style="thick"/>
      <right/>
      <top style="thick"/>
      <bottom style="thick"/>
      <diagonal/>
    </border>
    <border diagonalUp="false" diagonalDown="false">
      <left style="thick"/>
      <right style="thick"/>
      <top style="thick"/>
      <bottom style="thick"/>
      <diagonal/>
    </border>
    <border diagonalUp="false" diagonalDown="false">
      <left style="thick"/>
      <right style="thin"/>
      <top/>
      <bottom style="thick"/>
      <diagonal/>
    </border>
    <border diagonalUp="false" diagonalDown="false">
      <left style="thin"/>
      <right/>
      <top/>
      <bottom style="thick"/>
      <diagonal/>
    </border>
    <border diagonalUp="false" diagonalDown="false">
      <left style="thin"/>
      <right style="thick"/>
      <top/>
      <bottom style="thin"/>
      <diagonal/>
    </border>
    <border diagonalUp="false" diagonalDown="false">
      <left/>
      <right style="thick"/>
      <top/>
      <bottom style="thick"/>
      <diagonal/>
    </border>
    <border diagonalUp="false" diagonalDown="false">
      <left style="thin"/>
      <right style="thin"/>
      <top/>
      <bottom style="thick"/>
      <diagonal/>
    </border>
    <border diagonalUp="false" diagonalDown="false">
      <left style="thin"/>
      <right style="thin"/>
      <top style="thin"/>
      <bottom style="thick"/>
      <diagonal/>
    </border>
    <border diagonalUp="false" diagonalDown="false">
      <left style="thin"/>
      <right style="thick"/>
      <top style="thin"/>
      <bottom style="thick"/>
      <diagonal/>
    </border>
    <border diagonalUp="false" diagonalDown="false">
      <left/>
      <right style="thick"/>
      <top/>
      <bottom/>
      <diagonal/>
    </border>
    <border diagonalUp="false" diagonalDown="false">
      <left style="thick"/>
      <right style="thick"/>
      <top style="thick"/>
      <bottom/>
      <diagonal/>
    </border>
    <border diagonalUp="false" diagonalDown="false">
      <left/>
      <right style="thick"/>
      <top style="thick"/>
      <bottom style="thin"/>
      <diagonal/>
    </border>
    <border diagonalUp="false" diagonalDown="false">
      <left/>
      <right style="thick"/>
      <top style="thick"/>
      <bottom/>
      <diagonal/>
    </border>
    <border diagonalUp="false" diagonalDown="false">
      <left/>
      <right style="thick"/>
      <top style="thin"/>
      <bottom style="thin"/>
      <diagonal/>
    </border>
    <border diagonalUp="false" diagonalDown="false">
      <left style="thin"/>
      <right style="thick"/>
      <top style="thin"/>
      <bottom style="thin"/>
      <diagonal/>
    </border>
    <border diagonalUp="false" diagonalDown="false">
      <left style="thick"/>
      <right style="thick"/>
      <top style="thin"/>
      <bottom style="thin"/>
      <diagonal/>
    </border>
    <border diagonalUp="false" diagonalDown="false">
      <left style="thick"/>
      <right/>
      <top/>
      <bottom style="medium"/>
      <diagonal/>
    </border>
    <border diagonalUp="false" diagonalDown="false">
      <left style="thick"/>
      <right style="thin"/>
      <top style="thin"/>
      <bottom style="thin"/>
      <diagonal/>
    </border>
    <border diagonalUp="false" diagonalDown="false">
      <left/>
      <right/>
      <top style="thin"/>
      <bottom style="thin"/>
      <diagonal/>
    </border>
    <border diagonalUp="false" diagonalDown="false">
      <left style="thin"/>
      <right style="thick"/>
      <top/>
      <bottom/>
      <diagonal/>
    </border>
    <border diagonalUp="false" diagonalDown="false">
      <left style="thick"/>
      <right/>
      <top style="medium"/>
      <bottom style="medium"/>
      <diagonal/>
    </border>
    <border diagonalUp="false" diagonalDown="false">
      <left style="thin"/>
      <right style="thin"/>
      <top/>
      <bottom style="medium"/>
      <diagonal/>
    </border>
    <border diagonalUp="false" diagonalDown="false">
      <left style="thin"/>
      <right style="thick"/>
      <top style="thin"/>
      <bottom style="medium"/>
      <diagonal/>
    </border>
    <border diagonalUp="false" diagonalDown="false">
      <left style="thick"/>
      <right/>
      <top style="thin"/>
      <bottom style="medium"/>
      <diagonal/>
    </border>
    <border diagonalUp="false" diagonalDown="false">
      <left style="thick"/>
      <right/>
      <top/>
      <bottom/>
      <diagonal/>
    </border>
    <border diagonalUp="false" diagonalDown="false">
      <left style="thick"/>
      <right style="thick"/>
      <top style="medium"/>
      <bottom/>
      <diagonal/>
    </border>
    <border diagonalUp="false" diagonalDown="false">
      <left/>
      <right style="thin"/>
      <top style="thin"/>
      <bottom/>
      <diagonal/>
    </border>
    <border diagonalUp="false" diagonalDown="false">
      <left style="thick"/>
      <right style="thick"/>
      <top/>
      <bottom style="medium"/>
      <diagonal/>
    </border>
    <border diagonalUp="false" diagonalDown="false">
      <left style="thick"/>
      <right/>
      <top style="thick"/>
      <bottom/>
      <diagonal/>
    </border>
    <border diagonalUp="false" diagonalDown="false">
      <left style="thick"/>
      <right style="thin"/>
      <top style="thick"/>
      <bottom style="thick"/>
      <diagonal/>
    </border>
    <border diagonalUp="false" diagonalDown="false">
      <left/>
      <right/>
      <top style="thick"/>
      <bottom style="thick"/>
      <diagonal/>
    </border>
    <border diagonalUp="false" diagonalDown="false">
      <left style="thin"/>
      <right style="thin"/>
      <top style="thick"/>
      <bottom style="thick"/>
      <diagonal/>
    </border>
    <border diagonalUp="false" diagonalDown="false">
      <left style="thin"/>
      <right/>
      <top style="thick"/>
      <bottom style="thick"/>
      <diagonal/>
    </border>
    <border diagonalUp="false" diagonalDown="false">
      <left style="thin"/>
      <right style="thick"/>
      <top style="thick"/>
      <bottom style="thick"/>
      <diagonal/>
    </border>
    <border diagonalUp="false" diagonalDown="false">
      <left/>
      <right/>
      <top style="thick"/>
      <bottom/>
      <diagonal/>
    </border>
    <border diagonalUp="false" diagonalDown="false">
      <left style="thin"/>
      <right/>
      <top/>
      <bottom style="thin"/>
      <diagonal/>
    </border>
    <border diagonalUp="false" diagonalDown="false">
      <left style="thick"/>
      <right style="thick"/>
      <top/>
      <bottom style="thick"/>
      <diagonal/>
    </border>
    <border diagonalUp="false" diagonalDown="false">
      <left style="thin"/>
      <right/>
      <top style="thin"/>
      <bottom style="thick"/>
      <diagonal/>
    </border>
    <border diagonalUp="false" diagonalDown="false">
      <left style="thin"/>
      <right style="thick"/>
      <top style="thick"/>
      <bottom/>
      <diagonal/>
    </border>
    <border diagonalUp="false" diagonalDown="false">
      <left/>
      <right style="thick"/>
      <top style="medium"/>
      <bottom/>
      <diagonal/>
    </border>
    <border diagonalUp="false" diagonalDown="false">
      <left/>
      <right style="thin"/>
      <top/>
      <bottom style="medium"/>
      <diagonal/>
    </border>
    <border diagonalUp="false" diagonalDown="false">
      <left style="thick"/>
      <right style="thick"/>
      <top style="thin"/>
      <bottom style="medium"/>
      <diagonal/>
    </border>
    <border diagonalUp="false" diagonalDown="false">
      <left style="thin"/>
      <right style="thick"/>
      <top style="medium"/>
      <bottom/>
      <diagonal/>
    </border>
    <border diagonalUp="false" diagonalDown="false">
      <left/>
      <right style="thick"/>
      <top/>
      <bottom style="medium"/>
      <diagonal/>
    </border>
    <border diagonalUp="false" diagonalDown="false">
      <left style="thick"/>
      <right style="thin"/>
      <top style="medium"/>
      <bottom/>
      <diagonal/>
    </border>
    <border diagonalUp="false" diagonalDown="false">
      <left style="thick"/>
      <right style="thick"/>
      <top style="thin"/>
      <bottom/>
      <diagonal/>
    </border>
    <border diagonalUp="false" diagonalDown="false">
      <left/>
      <right style="thin"/>
      <top style="thick"/>
      <bottom style="thick"/>
      <diagonal/>
    </border>
    <border diagonalUp="false" diagonalDown="false">
      <left/>
      <right style="thick"/>
      <top style="thick"/>
      <bottom style="thick"/>
      <diagonal/>
    </border>
    <border diagonalUp="false" diagonalDown="false">
      <left style="thick"/>
      <right style="thick"/>
      <top style="thick"/>
      <bottom style="medium"/>
      <diagonal/>
    </border>
    <border diagonalUp="false" diagonalDown="false">
      <left style="thick"/>
      <right style="medium"/>
      <top/>
      <bottom style="medium"/>
      <diagonal/>
    </border>
    <border diagonalUp="false" diagonalDown="false">
      <left/>
      <right style="thin"/>
      <top/>
      <bottom style="thick"/>
      <diagonal/>
    </border>
    <border diagonalUp="false" diagonalDown="false">
      <left style="thin"/>
      <right style="thin"/>
      <top style="medium"/>
      <bottom style="thick"/>
      <diagonal/>
    </border>
    <border diagonalUp="false" diagonalDown="false">
      <left style="thin"/>
      <right style="thick"/>
      <top style="medium"/>
      <bottom style="thick"/>
      <diagonal/>
    </border>
    <border diagonalUp="false" diagonalDown="false">
      <left style="thick"/>
      <right style="thin"/>
      <top style="medium"/>
      <bottom style="thick"/>
      <diagonal/>
    </border>
    <border diagonalUp="false" diagonalDown="false">
      <left/>
      <right style="thin"/>
      <top style="medium"/>
      <bottom style="thick"/>
      <diagonal/>
    </border>
    <border diagonalUp="false" diagonalDown="false">
      <left/>
      <right style="medium"/>
      <top style="medium"/>
      <bottom style="thick"/>
      <diagonal/>
    </border>
    <border diagonalUp="false" diagonalDown="false">
      <left style="thick"/>
      <right style="thick"/>
      <top/>
      <bottom style="thin"/>
      <diagonal/>
    </border>
    <border diagonalUp="false" diagonalDown="false">
      <left style="thick"/>
      <right/>
      <top style="thick"/>
      <bottom style="thin"/>
      <diagonal/>
    </border>
    <border diagonalUp="false" diagonalDown="false">
      <left/>
      <right/>
      <top style="thick"/>
      <bottom style="thin"/>
      <diagonal/>
    </border>
    <border diagonalUp="false" diagonalDown="false">
      <left/>
      <right style="medium"/>
      <top style="thick"/>
      <bottom style="thin"/>
      <diagonal/>
    </border>
    <border diagonalUp="false" diagonalDown="false">
      <left style="medium"/>
      <right/>
      <top style="thick"/>
      <bottom style="thin"/>
      <diagonal/>
    </border>
    <border diagonalUp="false" diagonalDown="false">
      <left style="thick"/>
      <right style="thin"/>
      <top style="thin"/>
      <bottom/>
      <diagonal/>
    </border>
    <border diagonalUp="false" diagonalDown="false">
      <left/>
      <right style="thick"/>
      <top style="thin"/>
      <bottom style="thick"/>
      <diagonal/>
    </border>
    <border diagonalUp="false" diagonalDown="false">
      <left style="thick"/>
      <right style="thick"/>
      <top style="thin"/>
      <bottom style="thick"/>
      <diagonal/>
    </border>
    <border diagonalUp="false" diagonalDown="false">
      <left style="thick"/>
      <right style="medium"/>
      <top style="medium"/>
      <bottom style="medium"/>
      <diagonal/>
    </border>
    <border diagonalUp="false" diagonalDown="false">
      <left style="thin"/>
      <right style="medium"/>
      <top style="medium"/>
      <bottom style="thick"/>
      <diagonal/>
    </border>
    <border diagonalUp="false" diagonalDown="false">
      <left/>
      <right style="thick"/>
      <top/>
      <bottom style="thin"/>
      <diagonal/>
    </border>
    <border diagonalUp="false" diagonalDown="false">
      <left style="thin"/>
      <right style="thick"/>
      <top style="thin"/>
      <bottom/>
      <diagonal/>
    </border>
    <border diagonalUp="false" diagonalDown="false">
      <left style="thick"/>
      <right style="thin"/>
      <top style="thin"/>
      <bottom style="medium"/>
      <diagonal/>
    </border>
    <border diagonalUp="false" diagonalDown="false">
      <left/>
      <right style="thick"/>
      <top style="thin"/>
      <bottom style="medium"/>
      <diagonal/>
    </border>
    <border diagonalUp="false" diagonalDown="false">
      <left style="medium"/>
      <right style="thin"/>
      <top style="thick"/>
      <bottom style="thick"/>
      <diagonal/>
    </border>
  </borders>
  <cellStyleXfs count="34">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4" fontId="0" fillId="0" borderId="0" applyFont="true" applyBorder="false" applyAlignment="true" applyProtection="false">
      <alignment horizontal="general" vertical="bottom" textRotation="0" wrapText="false" indent="0" shrinkToFit="false"/>
    </xf>
    <xf numFmtId="165" fontId="6" fillId="0" borderId="0" applyFont="true" applyBorder="false" applyAlignment="true" applyProtection="false">
      <alignment horizontal="general" vertical="bottom" textRotation="0" wrapText="false" indent="0" shrinkToFit="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false" applyAlignment="true" applyProtection="false">
      <alignment horizontal="general" vertical="bottom" textRotation="0" wrapText="false" indent="0" shrinkToFit="false"/>
    </xf>
    <xf numFmtId="165" fontId="6" fillId="0" borderId="0" applyFont="true" applyBorder="false" applyAlignment="true" applyProtection="false">
      <alignment horizontal="general" vertical="bottom" textRotation="0" wrapText="false" indent="0" shrinkToFit="false"/>
    </xf>
    <xf numFmtId="166" fontId="0" fillId="0" borderId="0" applyFont="true" applyBorder="false" applyAlignment="true" applyProtection="false">
      <alignment horizontal="general" vertical="bottom" textRotation="0" wrapText="false" indent="0" shrinkToFit="false"/>
    </xf>
    <xf numFmtId="165" fontId="7" fillId="0" borderId="0" applyFont="true" applyBorder="true" applyAlignment="true" applyProtection="true">
      <alignment horizontal="general" vertical="bottom" textRotation="0" wrapText="false" indent="0" shrinkToFit="false"/>
      <protection locked="tru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8" fillId="0" borderId="0" applyFont="true" applyBorder="true" applyAlignment="true" applyProtection="true">
      <alignment horizontal="general" vertical="bottom" textRotation="0" wrapText="false" indent="0" shrinkToFit="false"/>
      <protection locked="true" hidden="false"/>
    </xf>
    <xf numFmtId="165" fontId="8" fillId="0" borderId="0" applyFont="true" applyBorder="true" applyAlignment="true" applyProtection="true">
      <alignment horizontal="general" vertical="bottom" textRotation="0" wrapText="false" indent="0" shrinkToFit="false"/>
      <protection locked="true" hidden="false"/>
    </xf>
    <xf numFmtId="165" fontId="9" fillId="0" borderId="0" applyFont="true" applyBorder="true" applyAlignment="true" applyProtection="true">
      <alignment horizontal="general" vertical="bottom" textRotation="0" wrapText="false" indent="0" shrinkToFit="false"/>
      <protection locked="true" hidden="false"/>
    </xf>
    <xf numFmtId="165" fontId="1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cellStyleXfs>
  <cellXfs count="952">
    <xf numFmtId="165" fontId="0" fillId="0" borderId="0" xfId="0" applyFont="false" applyBorder="false" applyAlignment="false" applyProtection="false">
      <alignment horizontal="general" vertical="bottom" textRotation="0" wrapText="false" indent="0" shrinkToFit="false"/>
      <protection locked="true" hidden="false"/>
    </xf>
    <xf numFmtId="165" fontId="11" fillId="2" borderId="0" xfId="0" applyFont="true" applyBorder="true" applyAlignment="false" applyProtection="false">
      <alignment horizontal="general" vertical="bottom" textRotation="0" wrapText="false" indent="0" shrinkToFit="false"/>
      <protection locked="true" hidden="false"/>
    </xf>
    <xf numFmtId="165" fontId="11" fillId="2" borderId="1" xfId="0" applyFont="true" applyBorder="true" applyAlignment="false" applyProtection="false">
      <alignment horizontal="general" vertical="bottom" textRotation="0" wrapText="false" indent="0" shrinkToFit="false"/>
      <protection locked="true" hidden="false"/>
    </xf>
    <xf numFmtId="165" fontId="12" fillId="2" borderId="2" xfId="0" applyFont="true" applyBorder="true" applyAlignment="false" applyProtection="false">
      <alignment horizontal="general" vertical="bottom" textRotation="0" wrapText="false" indent="0" shrinkToFit="false"/>
      <protection locked="true" hidden="false"/>
    </xf>
    <xf numFmtId="165" fontId="13" fillId="2" borderId="2" xfId="0" applyFont="true" applyBorder="true" applyAlignment="false" applyProtection="false">
      <alignment horizontal="general" vertical="bottom" textRotation="0" wrapText="false" indent="0" shrinkToFit="false"/>
      <protection locked="true" hidden="false"/>
    </xf>
    <xf numFmtId="165" fontId="14" fillId="2" borderId="2" xfId="0" applyFont="true" applyBorder="true" applyAlignment="false" applyProtection="false">
      <alignment horizontal="general" vertical="bottom" textRotation="0" wrapText="false" indent="0" shrinkToFit="false"/>
      <protection locked="true" hidden="false"/>
    </xf>
    <xf numFmtId="165" fontId="11" fillId="2" borderId="2" xfId="0" applyFont="true" applyBorder="true" applyAlignment="false" applyProtection="false">
      <alignment horizontal="general" vertical="bottom" textRotation="0" wrapText="false" indent="0" shrinkToFit="false"/>
      <protection locked="true" hidden="false"/>
    </xf>
    <xf numFmtId="165" fontId="11" fillId="2" borderId="3" xfId="0" applyFont="true" applyBorder="true" applyAlignment="false" applyProtection="false">
      <alignment horizontal="general" vertical="bottom" textRotation="0" wrapText="false" indent="0" shrinkToFit="false"/>
      <protection locked="true" hidden="false"/>
    </xf>
    <xf numFmtId="165" fontId="11" fillId="2" borderId="4" xfId="0" applyFont="true" applyBorder="true" applyAlignment="false" applyProtection="false">
      <alignment horizontal="general" vertical="bottom" textRotation="0" wrapText="false" indent="0" shrinkToFit="false"/>
      <protection locked="true" hidden="false"/>
    </xf>
    <xf numFmtId="165" fontId="11" fillId="2" borderId="5" xfId="0" applyFont="true" applyBorder="true" applyAlignment="false" applyProtection="false">
      <alignment horizontal="general" vertical="bottom" textRotation="0" wrapText="false" indent="0" shrinkToFit="false"/>
      <protection locked="true" hidden="false"/>
    </xf>
    <xf numFmtId="165" fontId="15" fillId="2" borderId="0" xfId="0" applyFont="true" applyBorder="true" applyAlignment="false" applyProtection="false">
      <alignment horizontal="general" vertical="bottom" textRotation="0" wrapText="false" indent="0" shrinkToFit="false"/>
      <protection locked="true" hidden="false"/>
    </xf>
    <xf numFmtId="165" fontId="16" fillId="2" borderId="0" xfId="0" applyFont="true" applyBorder="true" applyAlignment="false" applyProtection="false">
      <alignment horizontal="general" vertical="bottom" textRotation="0" wrapText="false" indent="0" shrinkToFit="false"/>
      <protection locked="true" hidden="false"/>
    </xf>
    <xf numFmtId="165" fontId="17" fillId="2" borderId="0" xfId="0" applyFont="true" applyBorder="true" applyAlignment="false" applyProtection="false">
      <alignment horizontal="general" vertical="bottom" textRotation="0" wrapText="false" indent="0" shrinkToFit="false"/>
      <protection locked="true" hidden="false"/>
    </xf>
    <xf numFmtId="165" fontId="18" fillId="2" borderId="0" xfId="0" applyFont="true" applyBorder="true" applyAlignment="false" applyProtection="false">
      <alignment horizontal="general" vertical="bottom" textRotation="0" wrapText="false" indent="0" shrinkToFit="false"/>
      <protection locked="true" hidden="false"/>
    </xf>
    <xf numFmtId="165" fontId="11" fillId="3" borderId="6" xfId="0" applyFont="true" applyBorder="true" applyAlignment="false" applyProtection="false">
      <alignment horizontal="general" vertical="bottom" textRotation="0" wrapText="false" indent="0" shrinkToFit="false"/>
      <protection locked="true" hidden="false"/>
    </xf>
    <xf numFmtId="165" fontId="11" fillId="4" borderId="6" xfId="0" applyFont="true" applyBorder="true" applyAlignment="false" applyProtection="false">
      <alignment horizontal="general" vertical="bottom" textRotation="0" wrapText="false" indent="0" shrinkToFit="false"/>
      <protection locked="true" hidden="false"/>
    </xf>
    <xf numFmtId="165" fontId="20" fillId="2" borderId="6" xfId="0" applyFont="true" applyBorder="true" applyAlignment="true" applyProtection="false">
      <alignment horizontal="center" vertical="center" textRotation="0" wrapText="false" indent="0" shrinkToFit="false"/>
      <protection locked="true" hidden="false"/>
    </xf>
    <xf numFmtId="165" fontId="11" fillId="2" borderId="6" xfId="0" applyFont="true" applyBorder="true" applyAlignment="false" applyProtection="false">
      <alignment horizontal="general" vertical="bottom" textRotation="0" wrapText="false" indent="0" shrinkToFit="false"/>
      <protection locked="true" hidden="false"/>
    </xf>
    <xf numFmtId="165" fontId="11" fillId="2" borderId="1" xfId="0" applyFont="true" applyBorder="true" applyAlignment="true" applyProtection="false">
      <alignment horizontal="right" vertical="bottom" textRotation="0" wrapText="false" indent="0" shrinkToFit="false"/>
      <protection locked="true" hidden="false"/>
    </xf>
    <xf numFmtId="165" fontId="21" fillId="2" borderId="2" xfId="0" applyFont="true" applyBorder="true" applyAlignment="true" applyProtection="false">
      <alignment horizontal="left" vertical="bottom" textRotation="0" wrapText="false" indent="0" shrinkToFit="false"/>
      <protection locked="true" hidden="false"/>
    </xf>
    <xf numFmtId="165" fontId="21" fillId="2" borderId="2" xfId="0" applyFont="true" applyBorder="true" applyAlignment="false" applyProtection="false">
      <alignment horizontal="general" vertical="bottom" textRotation="0" wrapText="false" indent="0" shrinkToFit="false"/>
      <protection locked="true" hidden="false"/>
    </xf>
    <xf numFmtId="165" fontId="11" fillId="2" borderId="4" xfId="0" applyFont="true" applyBorder="true" applyAlignment="true" applyProtection="false">
      <alignment horizontal="right" vertical="bottom" textRotation="0" wrapText="false" indent="0" shrinkToFit="false"/>
      <protection locked="true" hidden="false"/>
    </xf>
    <xf numFmtId="165" fontId="21" fillId="2" borderId="0" xfId="0" applyFont="true" applyBorder="true" applyAlignment="true" applyProtection="false">
      <alignment horizontal="left" vertical="bottom" textRotation="0" wrapText="false" indent="0" shrinkToFit="false"/>
      <protection locked="true" hidden="false"/>
    </xf>
    <xf numFmtId="165" fontId="21" fillId="2" borderId="0" xfId="0" applyFont="true" applyBorder="true" applyAlignment="false" applyProtection="false">
      <alignment horizontal="general" vertical="bottom" textRotation="0" wrapText="false" indent="0" shrinkToFit="false"/>
      <protection locked="true" hidden="false"/>
    </xf>
    <xf numFmtId="165" fontId="11" fillId="2" borderId="7" xfId="0" applyFont="true" applyBorder="true" applyAlignment="false" applyProtection="false">
      <alignment horizontal="general" vertical="bottom" textRotation="0" wrapText="false" indent="0" shrinkToFit="false"/>
      <protection locked="true" hidden="false"/>
    </xf>
    <xf numFmtId="165" fontId="21" fillId="2" borderId="8" xfId="0" applyFont="true" applyBorder="true" applyAlignment="false" applyProtection="false">
      <alignment horizontal="general" vertical="bottom" textRotation="0" wrapText="false" indent="0" shrinkToFit="false"/>
      <protection locked="true" hidden="false"/>
    </xf>
    <xf numFmtId="165" fontId="11" fillId="2" borderId="8" xfId="0" applyFont="true" applyBorder="true" applyAlignment="false" applyProtection="false">
      <alignment horizontal="general" vertical="bottom" textRotation="0" wrapText="false" indent="0" shrinkToFit="false"/>
      <protection locked="true" hidden="false"/>
    </xf>
    <xf numFmtId="165" fontId="11" fillId="2" borderId="9" xfId="0" applyFont="true" applyBorder="true" applyAlignment="false" applyProtection="false">
      <alignment horizontal="general" vertical="bottom" textRotation="0" wrapText="false" indent="0" shrinkToFit="false"/>
      <protection locked="true" hidden="false"/>
    </xf>
    <xf numFmtId="165" fontId="23" fillId="2" borderId="0" xfId="0" applyFont="true" applyBorder="true" applyAlignment="false" applyProtection="false">
      <alignment horizontal="general" vertical="bottom" textRotation="0" wrapText="false" indent="0" shrinkToFit="false"/>
      <protection locked="true" hidden="false"/>
    </xf>
    <xf numFmtId="165" fontId="24" fillId="2" borderId="0" xfId="0" applyFont="true" applyBorder="true" applyAlignment="false" applyProtection="false">
      <alignment horizontal="general" vertical="bottom" textRotation="0" wrapText="false" indent="0" shrinkToFit="false"/>
      <protection locked="true" hidden="false"/>
    </xf>
    <xf numFmtId="165" fontId="25" fillId="2" borderId="0" xfId="0" applyFont="true" applyBorder="true" applyAlignment="false" applyProtection="false">
      <alignment horizontal="general" vertical="bottom" textRotation="0" wrapText="false" indent="0" shrinkToFit="false"/>
      <protection locked="true" hidden="false"/>
    </xf>
    <xf numFmtId="165" fontId="28" fillId="0" borderId="0" xfId="0" applyFont="true" applyBorder="false" applyAlignment="false" applyProtection="false">
      <alignment horizontal="general" vertical="bottom" textRotation="0" wrapText="false" indent="0" shrinkToFit="false"/>
      <protection locked="true" hidden="false"/>
    </xf>
    <xf numFmtId="165" fontId="28" fillId="2" borderId="10" xfId="0" applyFont="true" applyBorder="true" applyAlignment="true" applyProtection="false">
      <alignment horizontal="left" vertical="center" textRotation="0" wrapText="false" indent="0" shrinkToFit="false"/>
      <protection locked="true" hidden="false"/>
    </xf>
    <xf numFmtId="165" fontId="4" fillId="2" borderId="11" xfId="0" applyFont="true" applyBorder="true" applyAlignment="false" applyProtection="false">
      <alignment horizontal="general" vertical="bottom" textRotation="0" wrapText="false" indent="0" shrinkToFit="false"/>
      <protection locked="true" hidden="false"/>
    </xf>
    <xf numFmtId="165" fontId="0" fillId="2" borderId="12" xfId="0" applyFont="false" applyBorder="true" applyAlignment="false" applyProtection="false">
      <alignment horizontal="general" vertical="bottom" textRotation="0" wrapText="false" indent="0" shrinkToFit="false"/>
      <protection locked="true" hidden="false"/>
    </xf>
    <xf numFmtId="165" fontId="4" fillId="2" borderId="13" xfId="0" applyFont="true" applyBorder="true" applyAlignment="false" applyProtection="false">
      <alignment horizontal="general" vertical="bottom" textRotation="0" wrapText="false" indent="0" shrinkToFit="false"/>
      <protection locked="true" hidden="false"/>
    </xf>
    <xf numFmtId="165" fontId="0" fillId="2" borderId="14" xfId="0" applyFont="false" applyBorder="true" applyAlignment="false" applyProtection="false">
      <alignment horizontal="general" vertical="bottom" textRotation="0" wrapText="false" indent="0" shrinkToFit="false"/>
      <protection locked="true" hidden="false"/>
    </xf>
    <xf numFmtId="165" fontId="4" fillId="2" borderId="15" xfId="0" applyFont="true" applyBorder="true" applyAlignment="false" applyProtection="false">
      <alignment horizontal="general" vertical="bottom" textRotation="0" wrapText="false" indent="0" shrinkToFit="false"/>
      <protection locked="true" hidden="false"/>
    </xf>
    <xf numFmtId="165" fontId="0" fillId="5" borderId="15" xfId="0" applyFont="false" applyBorder="true" applyAlignment="false" applyProtection="false">
      <alignment horizontal="general" vertical="bottom" textRotation="0" wrapText="false" indent="0" shrinkToFit="false"/>
      <protection locked="true" hidden="false"/>
    </xf>
    <xf numFmtId="165" fontId="4" fillId="2" borderId="16" xfId="0" applyFont="true" applyBorder="true" applyAlignment="false" applyProtection="false">
      <alignment horizontal="general" vertical="bottom" textRotation="0" wrapText="false" indent="0" shrinkToFit="false"/>
      <protection locked="true" hidden="false"/>
    </xf>
    <xf numFmtId="165" fontId="28" fillId="0" borderId="10" xfId="0" applyFont="true" applyBorder="true" applyAlignment="true" applyProtection="false">
      <alignment horizontal="left" vertical="center" textRotation="0" wrapText="true" indent="0" shrinkToFit="false"/>
      <protection locked="true" hidden="false"/>
    </xf>
    <xf numFmtId="165" fontId="4" fillId="0" borderId="11" xfId="0" applyFont="true" applyBorder="true" applyAlignment="true" applyProtection="false">
      <alignment horizontal="left" vertical="bottom" textRotation="0" wrapText="false" indent="0" shrinkToFit="false"/>
      <protection locked="true" hidden="false"/>
    </xf>
    <xf numFmtId="165" fontId="4" fillId="0" borderId="12" xfId="0" applyFont="true" applyBorder="true" applyAlignment="true" applyProtection="false">
      <alignment horizontal="left" vertical="bottom" textRotation="0" wrapText="true" indent="0" shrinkToFit="false"/>
      <protection locked="true" hidden="false"/>
    </xf>
    <xf numFmtId="165" fontId="4" fillId="0" borderId="13" xfId="0" applyFont="true" applyBorder="true" applyAlignment="true" applyProtection="false">
      <alignment horizontal="left" vertical="bottom" textRotation="0" wrapText="false" indent="0" shrinkToFit="false"/>
      <protection locked="true" hidden="false"/>
    </xf>
    <xf numFmtId="165" fontId="0" fillId="5" borderId="13" xfId="0" applyFont="false" applyBorder="true" applyAlignment="true" applyProtection="false">
      <alignment horizontal="left" vertical="bottom" textRotation="0" wrapText="false" indent="0" shrinkToFit="false"/>
      <protection locked="true" hidden="false"/>
    </xf>
    <xf numFmtId="165" fontId="4" fillId="0" borderId="14" xfId="0" applyFont="true" applyBorder="true" applyAlignment="true" applyProtection="false">
      <alignment horizontal="left" vertical="bottom" textRotation="0" wrapText="false" indent="0" shrinkToFit="false"/>
      <protection locked="true" hidden="false"/>
    </xf>
    <xf numFmtId="165" fontId="4" fillId="0" borderId="14" xfId="0" applyFont="true" applyBorder="true" applyAlignment="true" applyProtection="false">
      <alignment horizontal="left" vertical="bottom" textRotation="0" wrapText="true" indent="0" shrinkToFit="false"/>
      <protection locked="true" hidden="false"/>
    </xf>
    <xf numFmtId="165" fontId="4" fillId="0" borderId="17" xfId="0" applyFont="true" applyBorder="true" applyAlignment="true" applyProtection="false">
      <alignment horizontal="left" vertical="bottom" textRotation="0" wrapText="false" indent="0" shrinkToFit="false"/>
      <protection locked="true" hidden="false"/>
    </xf>
    <xf numFmtId="165" fontId="0" fillId="5" borderId="17" xfId="0" applyFont="false" applyBorder="true" applyAlignment="true" applyProtection="false">
      <alignment horizontal="left" vertical="bottom" textRotation="0" wrapText="false" indent="0" shrinkToFit="false"/>
      <protection locked="true" hidden="false"/>
    </xf>
    <xf numFmtId="165" fontId="4" fillId="0" borderId="18" xfId="0" applyFont="true" applyBorder="true" applyAlignment="true" applyProtection="false">
      <alignment horizontal="left" vertical="bottom" textRotation="0" wrapText="true" indent="0" shrinkToFit="false"/>
      <protection locked="true" hidden="false"/>
    </xf>
    <xf numFmtId="165" fontId="28" fillId="0" borderId="10" xfId="0" applyFont="true" applyBorder="true" applyAlignment="true" applyProtection="false">
      <alignment horizontal="left" vertical="bottom" textRotation="0" wrapText="false" indent="0" shrinkToFit="false"/>
      <protection locked="true" hidden="false"/>
    </xf>
    <xf numFmtId="165" fontId="0" fillId="0" borderId="19" xfId="0" applyFont="false" applyBorder="true" applyAlignment="true" applyProtection="false">
      <alignment horizontal="left" vertical="bottom" textRotation="0" wrapText="false" indent="0" shrinkToFit="false"/>
      <protection locked="true" hidden="false"/>
    </xf>
    <xf numFmtId="165" fontId="4" fillId="0" borderId="20" xfId="0" applyFont="true" applyBorder="true" applyAlignment="true" applyProtection="false">
      <alignment horizontal="left" vertical="bottom" textRotation="0" wrapText="false" indent="0" shrinkToFit="false"/>
      <protection locked="true" hidden="false"/>
    </xf>
    <xf numFmtId="165" fontId="28" fillId="0" borderId="10" xfId="0" applyFont="true" applyBorder="true" applyAlignment="true" applyProtection="false">
      <alignment horizontal="left" vertical="center" textRotation="0" wrapText="false" indent="0" shrinkToFit="false"/>
      <protection locked="true" hidden="false"/>
    </xf>
    <xf numFmtId="165" fontId="4" fillId="0" borderId="12" xfId="0" applyFont="true" applyBorder="true" applyAlignment="true" applyProtection="false">
      <alignment horizontal="left" vertical="bottom" textRotation="0" wrapText="false" indent="0" shrinkToFit="false"/>
      <protection locked="true" hidden="false"/>
    </xf>
    <xf numFmtId="165" fontId="4" fillId="0" borderId="18" xfId="0" applyFont="true" applyBorder="true" applyAlignment="true" applyProtection="false">
      <alignment horizontal="left" vertical="bottom" textRotation="0" wrapText="false" indent="0" shrinkToFit="false"/>
      <protection locked="true" hidden="false"/>
    </xf>
    <xf numFmtId="165" fontId="29" fillId="0" borderId="21" xfId="0" applyFont="true" applyBorder="true" applyAlignment="true" applyProtection="false">
      <alignment horizontal="left" vertical="bottom" textRotation="0" wrapText="false" indent="0" shrinkToFit="false"/>
      <protection locked="true" hidden="false"/>
    </xf>
    <xf numFmtId="165" fontId="4" fillId="2" borderId="22" xfId="0" applyFont="true" applyBorder="true" applyAlignment="true" applyProtection="false">
      <alignment horizontal="left" vertical="bottom" textRotation="0" wrapText="false" indent="0" shrinkToFit="false"/>
      <protection locked="true" hidden="false"/>
    </xf>
    <xf numFmtId="165" fontId="4" fillId="0" borderId="23" xfId="0" applyFont="true" applyBorder="true" applyAlignment="true" applyProtection="false">
      <alignment horizontal="left" vertical="bottom" textRotation="0" wrapText="true" indent="0" shrinkToFit="false"/>
      <protection locked="true" hidden="false"/>
    </xf>
    <xf numFmtId="165" fontId="4" fillId="2" borderId="13" xfId="0" applyFont="true" applyBorder="true" applyAlignment="true" applyProtection="false">
      <alignment horizontal="left" vertical="bottom" textRotation="0" wrapText="false" indent="0" shrinkToFit="false"/>
      <protection locked="true" hidden="false"/>
    </xf>
    <xf numFmtId="165" fontId="4" fillId="0" borderId="16" xfId="0" applyFont="true" applyBorder="true" applyAlignment="true" applyProtection="false">
      <alignment horizontal="left" vertical="bottom" textRotation="0" wrapText="true" indent="0" shrinkToFit="false"/>
      <protection locked="true" hidden="false"/>
    </xf>
    <xf numFmtId="165" fontId="29" fillId="0" borderId="0" xfId="0" applyFont="true" applyBorder="false" applyAlignment="false" applyProtection="false">
      <alignment horizontal="general" vertical="bottom" textRotation="0" wrapText="false" indent="0" shrinkToFit="false"/>
      <protection locked="true" hidden="false"/>
    </xf>
    <xf numFmtId="165" fontId="4" fillId="2" borderId="17" xfId="0" applyFont="true" applyBorder="true" applyAlignment="true" applyProtection="false">
      <alignment horizontal="left" vertical="bottom" textRotation="0" wrapText="false" indent="0" shrinkToFit="false"/>
      <protection locked="true" hidden="false"/>
    </xf>
    <xf numFmtId="165" fontId="28" fillId="0" borderId="24" xfId="0" applyFont="true" applyBorder="true" applyAlignment="true" applyProtection="false">
      <alignment horizontal="left" vertical="center" textRotation="0" wrapText="false" indent="0" shrinkToFit="false"/>
      <protection locked="true" hidden="false"/>
    </xf>
    <xf numFmtId="165" fontId="4" fillId="0" borderId="25" xfId="0" applyFont="true" applyBorder="true" applyAlignment="true" applyProtection="false">
      <alignment horizontal="left" vertical="bottom" textRotation="0" wrapText="false" indent="0" shrinkToFit="false"/>
      <protection locked="true" hidden="false"/>
    </xf>
    <xf numFmtId="165" fontId="4" fillId="0" borderId="26" xfId="0" applyFont="true" applyBorder="true" applyAlignment="true" applyProtection="false">
      <alignment horizontal="left" vertical="bottom" textRotation="0" wrapText="true" indent="0" shrinkToFit="false"/>
      <protection locked="true" hidden="false"/>
    </xf>
    <xf numFmtId="165" fontId="4" fillId="0" borderId="25" xfId="0" applyFont="true" applyBorder="true" applyAlignment="true" applyProtection="false">
      <alignment horizontal="general" vertical="center" textRotation="0" wrapText="false" indent="0" shrinkToFit="false"/>
      <protection locked="true" hidden="false"/>
    </xf>
    <xf numFmtId="165" fontId="4" fillId="0" borderId="27" xfId="0" applyFont="true" applyBorder="true" applyAlignment="true" applyProtection="false">
      <alignment horizontal="general" vertical="center" textRotation="0" wrapText="false" indent="0" shrinkToFit="false"/>
      <protection locked="true" hidden="false"/>
    </xf>
    <xf numFmtId="165" fontId="4" fillId="0" borderId="15" xfId="0" applyFont="true" applyBorder="true" applyAlignment="true" applyProtection="false">
      <alignment horizontal="left" vertical="bottom" textRotation="0" wrapText="false" indent="0" shrinkToFit="false"/>
      <protection locked="true" hidden="false"/>
    </xf>
    <xf numFmtId="165" fontId="28" fillId="0" borderId="10" xfId="0" applyFont="true" applyBorder="true" applyAlignment="false" applyProtection="false">
      <alignment horizontal="general" vertical="bottom" textRotation="0" wrapText="false" indent="0" shrinkToFit="false"/>
      <protection locked="true" hidden="false"/>
    </xf>
    <xf numFmtId="165" fontId="4" fillId="0" borderId="19" xfId="0" applyFont="true" applyBorder="true" applyAlignment="false" applyProtection="false">
      <alignment horizontal="general" vertical="bottom" textRotation="0" wrapText="false" indent="0" shrinkToFit="false"/>
      <protection locked="true" hidden="false"/>
    </xf>
    <xf numFmtId="165" fontId="4" fillId="0" borderId="19" xfId="0" applyFont="true" applyBorder="true" applyAlignment="true" applyProtection="false">
      <alignment horizontal="left" vertical="bottom" textRotation="0" wrapText="false" indent="0" shrinkToFit="false"/>
      <protection locked="true" hidden="false"/>
    </xf>
    <xf numFmtId="165" fontId="0" fillId="0" borderId="20" xfId="0" applyFont="true" applyBorder="true" applyAlignment="false" applyProtection="false">
      <alignment horizontal="general" vertical="bottom" textRotation="0" wrapText="false" indent="0" shrinkToFit="false"/>
      <protection locked="true" hidden="false"/>
    </xf>
    <xf numFmtId="165" fontId="11" fillId="2" borderId="0" xfId="0" applyFont="true" applyBorder="false" applyAlignment="false" applyProtection="false">
      <alignment horizontal="general" vertical="bottom" textRotation="0" wrapText="false" indent="0" shrinkToFit="false"/>
      <protection locked="true" hidden="false"/>
    </xf>
    <xf numFmtId="165" fontId="11" fillId="6" borderId="13" xfId="0" applyFont="true" applyBorder="true" applyAlignment="true" applyProtection="false">
      <alignment horizontal="center" vertical="bottom" textRotation="0" wrapText="false" indent="0" shrinkToFit="false"/>
      <protection locked="true" hidden="false"/>
    </xf>
    <xf numFmtId="165" fontId="30" fillId="6" borderId="13" xfId="31" applyFont="true" applyBorder="true" applyAlignment="true" applyProtection="false">
      <alignment horizontal="center" vertical="center" textRotation="0" wrapText="true" indent="0" shrinkToFit="false"/>
      <protection locked="true" hidden="false"/>
    </xf>
    <xf numFmtId="165" fontId="30" fillId="6" borderId="28" xfId="31" applyFont="true" applyBorder="true" applyAlignment="true" applyProtection="false">
      <alignment horizontal="center" vertical="center" textRotation="0" wrapText="true" indent="0" shrinkToFit="false"/>
      <protection locked="true" hidden="false"/>
    </xf>
    <xf numFmtId="165" fontId="11" fillId="3" borderId="13" xfId="0" applyFont="true" applyBorder="true" applyAlignment="true" applyProtection="false">
      <alignment horizontal="center" vertical="bottom" textRotation="0" wrapText="false" indent="0" shrinkToFit="false"/>
      <protection locked="true" hidden="false"/>
    </xf>
    <xf numFmtId="167" fontId="11" fillId="3" borderId="13" xfId="0" applyFont="true" applyBorder="true" applyAlignment="true" applyProtection="false">
      <alignment horizontal="center" vertical="bottom" textRotation="0" wrapText="false" indent="0" shrinkToFit="false"/>
      <protection locked="true" hidden="false"/>
    </xf>
    <xf numFmtId="165" fontId="11" fillId="6" borderId="0" xfId="0" applyFont="true" applyBorder="false" applyAlignment="false" applyProtection="false">
      <alignment horizontal="general" vertical="bottom" textRotation="0" wrapText="false" indent="0" shrinkToFit="false"/>
      <protection locked="true" hidden="false"/>
    </xf>
    <xf numFmtId="165" fontId="31" fillId="6" borderId="0" xfId="0" applyFont="true" applyBorder="false" applyAlignment="false" applyProtection="false">
      <alignment horizontal="general" vertical="bottom" textRotation="0" wrapText="false" indent="0" shrinkToFit="false"/>
      <protection locked="true" hidden="false"/>
    </xf>
    <xf numFmtId="165" fontId="32" fillId="6" borderId="0" xfId="0" applyFont="true" applyBorder="false" applyAlignment="false" applyProtection="false">
      <alignment horizontal="general" vertical="bottom" textRotation="0" wrapText="false" indent="0" shrinkToFit="false"/>
      <protection locked="true" hidden="false"/>
    </xf>
    <xf numFmtId="165" fontId="31" fillId="2" borderId="0" xfId="0" applyFont="true" applyBorder="false" applyAlignment="false" applyProtection="false">
      <alignment horizontal="general" vertical="bottom" textRotation="0" wrapText="false" indent="0" shrinkToFit="false"/>
      <protection locked="true" hidden="false"/>
    </xf>
    <xf numFmtId="165" fontId="32" fillId="2" borderId="0" xfId="0" applyFont="true" applyBorder="false" applyAlignment="false" applyProtection="false">
      <alignment horizontal="general" vertical="bottom" textRotation="0" wrapText="false" indent="0" shrinkToFit="false"/>
      <protection locked="true" hidden="false"/>
    </xf>
    <xf numFmtId="165" fontId="11" fillId="3" borderId="13" xfId="0" applyFont="true" applyBorder="true" applyAlignment="false" applyProtection="false">
      <alignment horizontal="general" vertical="bottom" textRotation="0" wrapText="false" indent="0" shrinkToFit="false"/>
      <protection locked="true" hidden="false"/>
    </xf>
    <xf numFmtId="165" fontId="30" fillId="3" borderId="13" xfId="31" applyFont="true" applyBorder="true" applyAlignment="true" applyProtection="false">
      <alignment horizontal="center" vertical="center" textRotation="0" wrapText="true" indent="0" shrinkToFit="false"/>
      <protection locked="true" hidden="false"/>
    </xf>
    <xf numFmtId="168" fontId="11" fillId="3" borderId="13" xfId="0" applyFont="true" applyBorder="true" applyAlignment="false" applyProtection="false">
      <alignment horizontal="general" vertical="bottom" textRotation="0" wrapText="false" indent="0" shrinkToFit="false"/>
      <protection locked="true" hidden="false"/>
    </xf>
    <xf numFmtId="165" fontId="33" fillId="6" borderId="13" xfId="31" applyFont="true" applyBorder="true" applyAlignment="true" applyProtection="false">
      <alignment horizontal="center" vertical="center" textRotation="0" wrapText="true" indent="0" shrinkToFit="false"/>
      <protection locked="true" hidden="false"/>
    </xf>
    <xf numFmtId="165" fontId="33" fillId="3" borderId="13" xfId="31" applyFont="true" applyBorder="true" applyAlignment="true" applyProtection="false">
      <alignment horizontal="center" vertical="center" textRotation="0" wrapText="true" indent="0" shrinkToFit="false"/>
      <protection locked="true" hidden="false"/>
    </xf>
    <xf numFmtId="168" fontId="32" fillId="3" borderId="13" xfId="0" applyFont="true" applyBorder="true" applyAlignment="false" applyProtection="false">
      <alignment horizontal="general" vertical="bottom" textRotation="0" wrapText="false" indent="0" shrinkToFit="false"/>
      <protection locked="true" hidden="false"/>
    </xf>
    <xf numFmtId="165" fontId="32" fillId="3" borderId="13" xfId="0" applyFont="true" applyBorder="true" applyAlignment="false" applyProtection="false">
      <alignment horizontal="general" vertical="bottom" textRotation="0" wrapText="false" indent="0" shrinkToFit="false"/>
      <protection locked="true" hidden="false"/>
    </xf>
    <xf numFmtId="165" fontId="30" fillId="6" borderId="13" xfId="31" applyFont="true" applyBorder="true" applyAlignment="true" applyProtection="false">
      <alignment horizontal="right" vertical="center" textRotation="0" wrapText="true" indent="0" shrinkToFit="false"/>
      <protection locked="true" hidden="false"/>
    </xf>
    <xf numFmtId="169" fontId="11" fillId="2" borderId="0" xfId="19" applyFont="true" applyBorder="true" applyAlignment="true" applyProtection="true">
      <alignment horizontal="general" vertical="bottom" textRotation="0" wrapText="false" indent="0" shrinkToFit="false"/>
      <protection locked="true" hidden="false"/>
    </xf>
    <xf numFmtId="168" fontId="11" fillId="3" borderId="13" xfId="0" applyFont="true" applyBorder="true" applyAlignment="true" applyProtection="false">
      <alignment horizontal="right" vertical="bottom" textRotation="0" wrapText="false" indent="0" shrinkToFit="false"/>
      <protection locked="true" hidden="false"/>
    </xf>
    <xf numFmtId="165" fontId="34" fillId="6" borderId="0" xfId="0" applyFont="true" applyBorder="false" applyAlignment="false" applyProtection="false">
      <alignment horizontal="general" vertical="bottom" textRotation="0" wrapText="false" indent="0" shrinkToFit="false"/>
      <protection locked="true" hidden="false"/>
    </xf>
    <xf numFmtId="165" fontId="11" fillId="6" borderId="13" xfId="0" applyFont="true" applyBorder="true" applyAlignment="false" applyProtection="false">
      <alignment horizontal="general" vertical="bottom" textRotation="0" wrapText="false" indent="0" shrinkToFit="false"/>
      <protection locked="true" hidden="false"/>
    </xf>
    <xf numFmtId="165" fontId="30" fillId="6" borderId="13" xfId="31" applyFont="true" applyBorder="true" applyAlignment="true" applyProtection="false">
      <alignment horizontal="left" vertical="center" textRotation="0" wrapText="true" indent="0" shrinkToFit="false"/>
      <protection locked="true" hidden="false"/>
    </xf>
    <xf numFmtId="165" fontId="17" fillId="3" borderId="13" xfId="0" applyFont="true" applyBorder="true" applyAlignment="false" applyProtection="false">
      <alignment horizontal="general" vertical="bottom" textRotation="0" wrapText="false" indent="0" shrinkToFit="false"/>
      <protection locked="true" hidden="false"/>
    </xf>
    <xf numFmtId="165" fontId="30" fillId="2" borderId="0" xfId="31" applyFont="true" applyBorder="true" applyAlignment="true" applyProtection="false">
      <alignment horizontal="center" vertical="center" textRotation="0" wrapText="true" indent="0" shrinkToFit="false"/>
      <protection locked="true" hidden="false"/>
    </xf>
    <xf numFmtId="165" fontId="11" fillId="7" borderId="13" xfId="0" applyFont="true" applyBorder="true" applyAlignment="false" applyProtection="false">
      <alignment horizontal="general" vertical="bottom" textRotation="0" wrapText="false" indent="0" shrinkToFit="false"/>
      <protection locked="true" hidden="false"/>
    </xf>
    <xf numFmtId="170" fontId="11" fillId="7" borderId="13" xfId="0" applyFont="true" applyBorder="true" applyAlignment="false" applyProtection="false">
      <alignment horizontal="general" vertical="bottom" textRotation="0" wrapText="false" indent="0" shrinkToFit="false"/>
      <protection locked="true" hidden="false"/>
    </xf>
    <xf numFmtId="165" fontId="11" fillId="4" borderId="13" xfId="0" applyFont="true" applyBorder="true" applyAlignment="false" applyProtection="false">
      <alignment horizontal="general" vertical="bottom" textRotation="0" wrapText="false" indent="0" shrinkToFit="false"/>
      <protection locked="true" hidden="false"/>
    </xf>
    <xf numFmtId="171" fontId="11" fillId="7" borderId="13" xfId="0" applyFont="true" applyBorder="true" applyAlignment="false" applyProtection="false">
      <alignment horizontal="general" vertical="bottom" textRotation="0" wrapText="false" indent="0" shrinkToFit="false"/>
      <protection locked="true" hidden="false"/>
    </xf>
    <xf numFmtId="165" fontId="11" fillId="2" borderId="13" xfId="0" applyFont="true" applyBorder="true" applyAlignment="false" applyProtection="false">
      <alignment horizontal="general" vertical="bottom" textRotation="0" wrapText="false" indent="0" shrinkToFit="false"/>
      <protection locked="true" hidden="false"/>
    </xf>
    <xf numFmtId="165" fontId="32" fillId="7" borderId="13" xfId="0" applyFont="true" applyBorder="true" applyAlignment="true" applyProtection="false">
      <alignment horizontal="center" vertical="center" textRotation="0" wrapText="false" indent="0" shrinkToFit="false"/>
      <protection locked="true" hidden="false"/>
    </xf>
    <xf numFmtId="165" fontId="32" fillId="2" borderId="0" xfId="0" applyFont="true" applyBorder="true" applyAlignment="true" applyProtection="false">
      <alignment horizontal="center" vertical="center" textRotation="0" wrapText="false" indent="0" shrinkToFit="false"/>
      <protection locked="true" hidden="false"/>
    </xf>
    <xf numFmtId="165" fontId="17" fillId="2" borderId="0" xfId="0" applyFont="true" applyBorder="false" applyAlignment="false" applyProtection="false">
      <alignment horizontal="general" vertical="bottom" textRotation="0" wrapText="false" indent="0" shrinkToFit="false"/>
      <protection locked="true" hidden="false"/>
    </xf>
    <xf numFmtId="165" fontId="32" fillId="3" borderId="13" xfId="0" applyFont="true" applyBorder="true" applyAlignment="true" applyProtection="false">
      <alignment horizontal="center" vertical="center" textRotation="0" wrapText="false" indent="0" shrinkToFit="false"/>
      <protection locked="true" hidden="false"/>
    </xf>
    <xf numFmtId="165" fontId="35" fillId="3" borderId="13" xfId="0" applyFont="true" applyBorder="true" applyAlignment="true" applyProtection="false">
      <alignment horizontal="center" vertical="center" textRotation="0" wrapText="true" indent="0" shrinkToFit="false"/>
      <protection locked="true" hidden="false"/>
    </xf>
    <xf numFmtId="165" fontId="35" fillId="2" borderId="0" xfId="0" applyFont="true" applyBorder="true" applyAlignment="true" applyProtection="false">
      <alignment horizontal="center" vertical="center" textRotation="0" wrapText="true" indent="0" shrinkToFit="false"/>
      <protection locked="true" hidden="false"/>
    </xf>
    <xf numFmtId="172" fontId="32" fillId="2" borderId="0" xfId="0" applyFont="true" applyBorder="true" applyAlignment="true" applyProtection="false">
      <alignment horizontal="general" vertical="bottom" textRotation="0" wrapText="true" indent="0" shrinkToFit="false"/>
      <protection locked="true" hidden="false"/>
    </xf>
    <xf numFmtId="173" fontId="11" fillId="2" borderId="0" xfId="0" applyFont="true" applyBorder="true" applyAlignment="false" applyProtection="true">
      <alignment horizontal="general" vertical="bottom" textRotation="0" wrapText="false" indent="0" shrinkToFit="false"/>
      <protection locked="false" hidden="false"/>
    </xf>
    <xf numFmtId="168" fontId="32" fillId="2" borderId="0" xfId="0" applyFont="true" applyBorder="true" applyAlignment="false" applyProtection="false">
      <alignment horizontal="general" vertical="bottom" textRotation="0" wrapText="false" indent="0" shrinkToFit="false"/>
      <protection locked="true" hidden="false"/>
    </xf>
    <xf numFmtId="172" fontId="20" fillId="2" borderId="0" xfId="0" applyFont="true" applyBorder="true" applyAlignment="false" applyProtection="false">
      <alignment horizontal="general" vertical="bottom" textRotation="0" wrapText="false" indent="0" shrinkToFit="false"/>
      <protection locked="true" hidden="false"/>
    </xf>
    <xf numFmtId="168" fontId="32" fillId="6" borderId="13" xfId="0" applyFont="true" applyBorder="true" applyAlignment="true" applyProtection="false">
      <alignment horizontal="center" vertical="center" textRotation="0" wrapText="false" indent="0" shrinkToFit="false"/>
      <protection locked="true" hidden="false"/>
    </xf>
    <xf numFmtId="174" fontId="11" fillId="7" borderId="13" xfId="0" applyFont="true" applyBorder="true" applyAlignment="false" applyProtection="false">
      <alignment horizontal="general" vertical="bottom" textRotation="0" wrapText="false" indent="0" shrinkToFit="false"/>
      <protection locked="true" hidden="false"/>
    </xf>
    <xf numFmtId="171" fontId="11" fillId="2" borderId="0" xfId="0" applyFont="true" applyBorder="false" applyAlignment="true" applyProtection="false">
      <alignment horizontal="center" vertical="bottom" textRotation="0" wrapText="false" indent="0" shrinkToFit="false"/>
      <protection locked="true" hidden="false"/>
    </xf>
    <xf numFmtId="171" fontId="11" fillId="2" borderId="0" xfId="0" applyFont="true" applyBorder="false" applyAlignment="false" applyProtection="false">
      <alignment horizontal="general" vertical="bottom" textRotation="0" wrapText="false" indent="0" shrinkToFit="false"/>
      <protection locked="true" hidden="false"/>
    </xf>
    <xf numFmtId="174" fontId="11" fillId="6" borderId="13" xfId="0" applyFont="true" applyBorder="true" applyAlignment="false" applyProtection="false">
      <alignment horizontal="general" vertical="bottom" textRotation="0" wrapText="false" indent="0" shrinkToFit="false"/>
      <protection locked="true" hidden="false"/>
    </xf>
    <xf numFmtId="174" fontId="11" fillId="3" borderId="13" xfId="0" applyFont="true" applyBorder="true" applyAlignment="true" applyProtection="false">
      <alignment horizontal="right" vertical="center" textRotation="0" wrapText="false" indent="0" shrinkToFit="false"/>
      <protection locked="true" hidden="false"/>
    </xf>
    <xf numFmtId="174" fontId="11" fillId="2" borderId="0" xfId="0" applyFont="true" applyBorder="true" applyAlignment="true" applyProtection="false">
      <alignment horizontal="right" vertical="center" textRotation="0" wrapText="false" indent="0" shrinkToFit="false"/>
      <protection locked="true" hidden="false"/>
    </xf>
    <xf numFmtId="168" fontId="32" fillId="2" borderId="13" xfId="0" applyFont="true" applyBorder="true" applyAlignment="true" applyProtection="false">
      <alignment horizontal="center" vertical="center" textRotation="0" wrapText="false" indent="0" shrinkToFit="false"/>
      <protection locked="true" hidden="false"/>
    </xf>
    <xf numFmtId="175" fontId="11" fillId="2" borderId="0" xfId="19" applyFont="true" applyBorder="true" applyAlignment="true" applyProtection="true">
      <alignment horizontal="general" vertical="bottom" textRotation="0" wrapText="false" indent="0" shrinkToFit="false"/>
      <protection locked="true" hidden="false"/>
    </xf>
    <xf numFmtId="174" fontId="11" fillId="3" borderId="13" xfId="0" applyFont="true" applyBorder="true" applyAlignment="false" applyProtection="false">
      <alignment horizontal="general" vertical="bottom" textRotation="0" wrapText="false" indent="0" shrinkToFit="false"/>
      <protection locked="true" hidden="false"/>
    </xf>
    <xf numFmtId="174" fontId="17" fillId="3" borderId="13" xfId="0" applyFont="true" applyBorder="true" applyAlignment="false" applyProtection="false">
      <alignment horizontal="general" vertical="bottom" textRotation="0" wrapText="false" indent="0" shrinkToFit="false"/>
      <protection locked="true" hidden="false"/>
    </xf>
    <xf numFmtId="175" fontId="11" fillId="7" borderId="13" xfId="19" applyFont="true" applyBorder="true" applyAlignment="true" applyProtection="true">
      <alignment horizontal="general" vertical="bottom" textRotation="0" wrapText="false" indent="0" shrinkToFit="false"/>
      <protection locked="true" hidden="false"/>
    </xf>
    <xf numFmtId="175" fontId="11" fillId="6" borderId="13" xfId="19" applyFont="true" applyBorder="true" applyAlignment="true" applyProtection="true">
      <alignment horizontal="general" vertical="bottom" textRotation="0" wrapText="false" indent="0" shrinkToFit="false"/>
      <protection locked="true" hidden="false"/>
    </xf>
    <xf numFmtId="168" fontId="32" fillId="2" borderId="0" xfId="0" applyFont="true" applyBorder="true" applyAlignment="true" applyProtection="false">
      <alignment horizontal="center" vertical="center" textRotation="0" wrapText="false" indent="0" shrinkToFit="false"/>
      <protection locked="true" hidden="false"/>
    </xf>
    <xf numFmtId="176" fontId="11" fillId="2" borderId="0" xfId="19" applyFont="true" applyBorder="true" applyAlignment="true" applyProtection="true">
      <alignment horizontal="general" vertical="bottom" textRotation="0" wrapText="false" indent="0" shrinkToFit="false"/>
      <protection locked="true" hidden="false"/>
    </xf>
    <xf numFmtId="175" fontId="11" fillId="2" borderId="13" xfId="19" applyFont="true" applyBorder="true" applyAlignment="true" applyProtection="true">
      <alignment horizontal="general" vertical="bottom" textRotation="0" wrapText="false" indent="0" shrinkToFit="false"/>
      <protection locked="true" hidden="false"/>
    </xf>
    <xf numFmtId="165" fontId="20" fillId="2" borderId="0" xfId="0" applyFont="true" applyBorder="false" applyAlignment="false" applyProtection="false">
      <alignment horizontal="general" vertical="bottom" textRotation="0" wrapText="false" indent="0" shrinkToFit="false"/>
      <protection locked="true" hidden="false"/>
    </xf>
    <xf numFmtId="174" fontId="11" fillId="2" borderId="0" xfId="0" applyFont="true" applyBorder="true" applyAlignment="false" applyProtection="false">
      <alignment horizontal="general" vertical="bottom" textRotation="0" wrapText="false" indent="0" shrinkToFit="false"/>
      <protection locked="true" hidden="false"/>
    </xf>
    <xf numFmtId="177" fontId="11" fillId="7" borderId="13" xfId="0" applyFont="true" applyBorder="true" applyAlignment="false" applyProtection="false">
      <alignment horizontal="general" vertical="bottom" textRotation="0" wrapText="false" indent="0" shrinkToFit="false"/>
      <protection locked="true" hidden="false"/>
    </xf>
    <xf numFmtId="164" fontId="11" fillId="2" borderId="0" xfId="19" applyFont="true" applyBorder="true" applyAlignment="true" applyProtection="true">
      <alignment horizontal="general" vertical="bottom" textRotation="0" wrapText="false" indent="0" shrinkToFit="false"/>
      <protection locked="true" hidden="false"/>
    </xf>
    <xf numFmtId="178" fontId="11" fillId="7" borderId="13" xfId="0" applyFont="true" applyBorder="true" applyAlignment="false" applyProtection="false">
      <alignment horizontal="general" vertical="bottom" textRotation="0" wrapText="false" indent="0" shrinkToFit="false"/>
      <protection locked="true" hidden="false"/>
    </xf>
    <xf numFmtId="164" fontId="11" fillId="2" borderId="13" xfId="19" applyFont="true" applyBorder="true" applyAlignment="true" applyProtection="true">
      <alignment horizontal="general" vertical="bottom" textRotation="0" wrapText="false" indent="0" shrinkToFit="false"/>
      <protection locked="true" hidden="false"/>
    </xf>
    <xf numFmtId="178" fontId="11" fillId="6" borderId="13" xfId="0" applyFont="true" applyBorder="true" applyAlignment="false" applyProtection="false">
      <alignment horizontal="general" vertical="bottom" textRotation="0" wrapText="false" indent="0" shrinkToFit="false"/>
      <protection locked="true" hidden="false"/>
    </xf>
    <xf numFmtId="171" fontId="11" fillId="6" borderId="13" xfId="0" applyFont="true" applyBorder="true" applyAlignment="false" applyProtection="false">
      <alignment horizontal="general" vertical="bottom" textRotation="0" wrapText="false" indent="0" shrinkToFit="false"/>
      <protection locked="true" hidden="false"/>
    </xf>
    <xf numFmtId="178" fontId="11" fillId="3" borderId="13" xfId="0" applyFont="true" applyBorder="true" applyAlignment="false" applyProtection="false">
      <alignment horizontal="general" vertical="bottom" textRotation="0" wrapText="false" indent="0" shrinkToFit="false"/>
      <protection locked="true" hidden="false"/>
    </xf>
    <xf numFmtId="165" fontId="11" fillId="2" borderId="0" xfId="19" applyFont="true" applyBorder="true" applyAlignment="true" applyProtection="true">
      <alignment horizontal="general" vertical="bottom" textRotation="0" wrapText="false" indent="0" shrinkToFit="false"/>
      <protection locked="true" hidden="false"/>
    </xf>
    <xf numFmtId="175" fontId="17" fillId="7" borderId="13" xfId="19" applyFont="true" applyBorder="true" applyAlignment="true" applyProtection="true">
      <alignment horizontal="general" vertical="bottom" textRotation="0" wrapText="false" indent="0" shrinkToFit="false"/>
      <protection locked="true" hidden="false"/>
    </xf>
    <xf numFmtId="174" fontId="11" fillId="2" borderId="0" xfId="19" applyFont="true" applyBorder="true" applyAlignment="true" applyProtection="true">
      <alignment horizontal="general" vertical="bottom" textRotation="0" wrapText="false" indent="0" shrinkToFit="false"/>
      <protection locked="true" hidden="false"/>
    </xf>
    <xf numFmtId="178" fontId="17" fillId="3" borderId="13" xfId="0" applyFont="true" applyBorder="true" applyAlignment="false" applyProtection="false">
      <alignment horizontal="general" vertical="bottom" textRotation="0" wrapText="false" indent="0" shrinkToFit="false"/>
      <protection locked="true" hidden="false"/>
    </xf>
    <xf numFmtId="174" fontId="11" fillId="3" borderId="13" xfId="19" applyFont="true" applyBorder="true" applyAlignment="true" applyProtection="true">
      <alignment horizontal="general" vertical="bottom" textRotation="0" wrapText="false" indent="0" shrinkToFit="false"/>
      <protection locked="true" hidden="false"/>
    </xf>
    <xf numFmtId="165" fontId="36" fillId="2" borderId="0" xfId="31" applyFont="true" applyBorder="true" applyAlignment="true" applyProtection="false">
      <alignment horizontal="center" vertical="center" textRotation="0" wrapText="true" indent="0" shrinkToFit="false"/>
      <protection locked="true" hidden="false"/>
    </xf>
    <xf numFmtId="165" fontId="37" fillId="2" borderId="0" xfId="0" applyFont="true" applyBorder="true" applyAlignment="false" applyProtection="false">
      <alignment horizontal="general" vertical="bottom" textRotation="0" wrapText="false" indent="0" shrinkToFit="false"/>
      <protection locked="true" hidden="false"/>
    </xf>
    <xf numFmtId="165" fontId="38" fillId="2" borderId="0" xfId="31" applyFont="true" applyBorder="true" applyAlignment="true" applyProtection="false">
      <alignment horizontal="center" vertical="center" textRotation="0" wrapText="true" indent="0" shrinkToFit="false"/>
      <protection locked="true" hidden="false"/>
    </xf>
    <xf numFmtId="164" fontId="37" fillId="2" borderId="13" xfId="0" applyFont="true" applyBorder="true" applyAlignment="false" applyProtection="false">
      <alignment horizontal="general" vertical="bottom" textRotation="0" wrapText="false" indent="0" shrinkToFit="false"/>
      <protection locked="true" hidden="false"/>
    </xf>
    <xf numFmtId="164" fontId="37" fillId="2" borderId="0" xfId="0" applyFont="true" applyBorder="true" applyAlignment="false" applyProtection="false">
      <alignment horizontal="general" vertical="bottom" textRotation="0" wrapText="false" indent="0" shrinkToFit="false"/>
      <protection locked="true" hidden="false"/>
    </xf>
    <xf numFmtId="168" fontId="32" fillId="2" borderId="0" xfId="0" applyFont="true" applyBorder="true" applyAlignment="true" applyProtection="false">
      <alignment horizontal="left" vertical="center" textRotation="0" wrapText="false" indent="0" shrinkToFit="false"/>
      <protection locked="true" hidden="false"/>
    </xf>
    <xf numFmtId="165" fontId="39" fillId="2" borderId="0" xfId="0" applyFont="true" applyBorder="false" applyAlignment="false" applyProtection="false">
      <alignment horizontal="general" vertical="bottom" textRotation="0" wrapText="false" indent="0" shrinkToFit="false"/>
      <protection locked="true" hidden="false"/>
    </xf>
    <xf numFmtId="168" fontId="32" fillId="6" borderId="13" xfId="0" applyFont="true" applyBorder="true" applyAlignment="true" applyProtection="false">
      <alignment horizontal="center" vertical="center" textRotation="0" wrapText="true" indent="0" shrinkToFit="false"/>
      <protection locked="true" hidden="false"/>
    </xf>
    <xf numFmtId="174" fontId="39" fillId="3" borderId="13" xfId="0" applyFont="true" applyBorder="true" applyAlignment="true" applyProtection="false">
      <alignment horizontal="center" vertical="center" textRotation="0" wrapText="true" indent="0" shrinkToFit="false"/>
      <protection locked="true" hidden="false"/>
    </xf>
    <xf numFmtId="171" fontId="11" fillId="3" borderId="13" xfId="0" applyFont="true" applyBorder="true" applyAlignment="false" applyProtection="false">
      <alignment horizontal="general" vertical="bottom" textRotation="0" wrapText="false" indent="0" shrinkToFit="false"/>
      <protection locked="true" hidden="false"/>
    </xf>
    <xf numFmtId="171" fontId="17" fillId="3" borderId="13" xfId="0" applyFont="true" applyBorder="true" applyAlignment="false" applyProtection="false">
      <alignment horizontal="general" vertical="bottom" textRotation="0" wrapText="false" indent="0" shrinkToFit="false"/>
      <protection locked="true" hidden="false"/>
    </xf>
    <xf numFmtId="165" fontId="39" fillId="2" borderId="0" xfId="0" applyFont="true" applyBorder="true" applyAlignment="false" applyProtection="false">
      <alignment horizontal="general" vertical="bottom" textRotation="0" wrapText="false" indent="0" shrinkToFit="false"/>
      <protection locked="true" hidden="false"/>
    </xf>
    <xf numFmtId="165" fontId="32" fillId="8" borderId="29" xfId="0" applyFont="true" applyBorder="true" applyAlignment="true" applyProtection="false">
      <alignment horizontal="left" vertical="center" textRotation="0" wrapText="true" indent="0" shrinkToFit="false"/>
      <protection locked="true" hidden="false"/>
    </xf>
    <xf numFmtId="165" fontId="32" fillId="8" borderId="25" xfId="0" applyFont="true" applyBorder="true" applyAlignment="true" applyProtection="false">
      <alignment horizontal="center" vertical="center" textRotation="0" wrapText="false" indent="0" shrinkToFit="false"/>
      <protection locked="true" hidden="false"/>
    </xf>
    <xf numFmtId="165" fontId="32" fillId="8" borderId="30" xfId="0" applyFont="true" applyBorder="true" applyAlignment="true" applyProtection="false">
      <alignment horizontal="center" vertical="center" textRotation="0" wrapText="false" indent="0" shrinkToFit="false"/>
      <protection locked="true" hidden="false"/>
    </xf>
    <xf numFmtId="165" fontId="32" fillId="8" borderId="31" xfId="0" applyFont="true" applyBorder="true" applyAlignment="true" applyProtection="false">
      <alignment horizontal="left" vertical="center" textRotation="0" wrapText="false" indent="0" shrinkToFit="false"/>
      <protection locked="true" hidden="false"/>
    </xf>
    <xf numFmtId="165" fontId="11" fillId="8" borderId="13" xfId="0" applyFont="true" applyBorder="true" applyAlignment="true" applyProtection="false">
      <alignment horizontal="center" vertical="bottom" textRotation="0" wrapText="false" indent="0" shrinkToFit="false"/>
      <protection locked="true" hidden="false"/>
    </xf>
    <xf numFmtId="165" fontId="11" fillId="2" borderId="0" xfId="0" applyFont="true" applyBorder="true" applyAlignment="true" applyProtection="false">
      <alignment horizontal="center" vertical="bottom" textRotation="0" wrapText="false" indent="0" shrinkToFit="false"/>
      <protection locked="true" hidden="false"/>
    </xf>
    <xf numFmtId="165" fontId="11" fillId="2" borderId="0" xfId="0" applyFont="true" applyBorder="false" applyAlignment="true" applyProtection="false">
      <alignment horizontal="general" vertical="bottom" textRotation="0" wrapText="true" indent="0" shrinkToFit="false"/>
      <protection locked="true" hidden="false"/>
    </xf>
    <xf numFmtId="165" fontId="4" fillId="6" borderId="13" xfId="0" applyFont="true" applyBorder="true" applyAlignment="true" applyProtection="false">
      <alignment horizontal="general" vertical="top" textRotation="0" wrapText="true" indent="0" shrinkToFit="false"/>
      <protection locked="true" hidden="false"/>
    </xf>
    <xf numFmtId="165" fontId="0" fillId="0" borderId="0" xfId="0" applyFont="false" applyBorder="true" applyAlignment="false" applyProtection="false">
      <alignment horizontal="general" vertical="bottom" textRotation="0" wrapText="false" indent="0" shrinkToFit="false"/>
      <protection locked="true" hidden="false"/>
    </xf>
    <xf numFmtId="175" fontId="11" fillId="7" borderId="13" xfId="0" applyFont="true" applyBorder="true" applyAlignment="false" applyProtection="false">
      <alignment horizontal="general" vertical="bottom" textRotation="0" wrapText="false" indent="0" shrinkToFit="false"/>
      <protection locked="true" hidden="false"/>
    </xf>
    <xf numFmtId="165" fontId="4" fillId="0" borderId="13" xfId="0" applyFont="true" applyBorder="true" applyAlignment="true" applyProtection="false">
      <alignment horizontal="general" vertical="top" textRotation="0" wrapText="true" indent="0" shrinkToFit="false"/>
      <protection locked="true" hidden="false"/>
    </xf>
    <xf numFmtId="168" fontId="11" fillId="7" borderId="13" xfId="0" applyFont="true" applyBorder="true" applyAlignment="true" applyProtection="false">
      <alignment horizontal="general" vertical="top" textRotation="0" wrapText="true" indent="0" shrinkToFit="false"/>
      <protection locked="true" hidden="false"/>
    </xf>
    <xf numFmtId="165" fontId="0" fillId="2" borderId="0" xfId="0" applyFont="false" applyBorder="true" applyAlignment="true" applyProtection="false">
      <alignment horizontal="general" vertical="top" textRotation="0" wrapText="true" indent="0" shrinkToFit="false"/>
      <protection locked="true" hidden="false"/>
    </xf>
    <xf numFmtId="168" fontId="0" fillId="2" borderId="0" xfId="0" applyFont="false" applyBorder="true" applyAlignment="true" applyProtection="false">
      <alignment horizontal="general" vertical="top" textRotation="0" wrapText="true" indent="0" shrinkToFit="false"/>
      <protection locked="true" hidden="false"/>
    </xf>
    <xf numFmtId="175" fontId="11" fillId="3" borderId="13" xfId="19" applyFont="true" applyBorder="true" applyAlignment="true" applyProtection="true">
      <alignment horizontal="general" vertical="bottom" textRotation="0" wrapText="false" indent="0" shrinkToFit="false"/>
      <protection locked="true" hidden="false"/>
    </xf>
    <xf numFmtId="175" fontId="17" fillId="3" borderId="13" xfId="19" applyFont="true" applyBorder="true" applyAlignment="true" applyProtection="true">
      <alignment horizontal="general" vertical="bottom" textRotation="0" wrapText="false" indent="0" shrinkToFit="false"/>
      <protection locked="true" hidden="false"/>
    </xf>
    <xf numFmtId="168" fontId="20" fillId="2" borderId="0" xfId="0" applyFont="true" applyBorder="true" applyAlignment="true" applyProtection="false">
      <alignment horizontal="center" vertical="center" textRotation="0" wrapText="false" indent="0" shrinkToFit="false"/>
      <protection locked="true" hidden="false"/>
    </xf>
    <xf numFmtId="165" fontId="11" fillId="6" borderId="15" xfId="0" applyFont="true" applyBorder="true" applyAlignment="false" applyProtection="false">
      <alignment horizontal="general" vertical="bottom" textRotation="0" wrapText="false" indent="0" shrinkToFit="false"/>
      <protection locked="true" hidden="false"/>
    </xf>
    <xf numFmtId="165" fontId="11" fillId="7" borderId="15" xfId="0" applyFont="true" applyBorder="true" applyAlignment="false" applyProtection="false">
      <alignment horizontal="general" vertical="bottom" textRotation="0" wrapText="false" indent="0" shrinkToFit="false"/>
      <protection locked="true" hidden="false"/>
    </xf>
    <xf numFmtId="168" fontId="11" fillId="6" borderId="13" xfId="0" applyFont="true" applyBorder="true" applyAlignment="true" applyProtection="false">
      <alignment horizontal="center" vertical="center" textRotation="0" wrapText="false" indent="0" shrinkToFit="false"/>
      <protection locked="true" hidden="false"/>
    </xf>
    <xf numFmtId="165" fontId="11" fillId="2" borderId="0" xfId="26" applyFont="true" applyBorder="false" applyAlignment="false" applyProtection="false">
      <alignment horizontal="general" vertical="bottom" textRotation="0" wrapText="false" indent="0" shrinkToFit="false"/>
      <protection locked="true" hidden="false"/>
    </xf>
    <xf numFmtId="165" fontId="32" fillId="9" borderId="13" xfId="0" applyFont="true" applyBorder="true" applyAlignment="true" applyProtection="false">
      <alignment horizontal="center" vertical="center" textRotation="0" wrapText="false" indent="0" shrinkToFit="false"/>
      <protection locked="true" hidden="false"/>
    </xf>
    <xf numFmtId="165" fontId="41" fillId="2" borderId="0" xfId="26" applyFont="true" applyBorder="false" applyAlignment="false" applyProtection="false">
      <alignment horizontal="general" vertical="bottom" textRotation="0" wrapText="false" indent="0" shrinkToFit="false"/>
      <protection locked="true" hidden="false"/>
    </xf>
    <xf numFmtId="165" fontId="11" fillId="9" borderId="13" xfId="0" applyFont="true" applyBorder="true" applyAlignment="false" applyProtection="false">
      <alignment horizontal="general" vertical="bottom" textRotation="0" wrapText="false" indent="0" shrinkToFit="false"/>
      <protection locked="true" hidden="false"/>
    </xf>
    <xf numFmtId="168" fontId="32" fillId="6" borderId="13" xfId="0" applyFont="true" applyBorder="true" applyAlignment="true" applyProtection="false">
      <alignment horizontal="left" vertical="center" textRotation="0" wrapText="false" indent="0" shrinkToFit="false"/>
      <protection locked="true" hidden="false"/>
    </xf>
    <xf numFmtId="171" fontId="11" fillId="9" borderId="13" xfId="0" applyFont="true" applyBorder="true" applyAlignment="false" applyProtection="false">
      <alignment horizontal="general" vertical="bottom" textRotation="0" wrapText="false" indent="0" shrinkToFit="false"/>
      <protection locked="true" hidden="false"/>
    </xf>
    <xf numFmtId="168" fontId="42" fillId="6" borderId="13" xfId="0" applyFont="true" applyBorder="true" applyAlignment="true" applyProtection="false">
      <alignment horizontal="center" vertical="center" textRotation="0" wrapText="false" indent="0" shrinkToFit="false"/>
      <protection locked="true" hidden="false"/>
    </xf>
    <xf numFmtId="165" fontId="43" fillId="2" borderId="0" xfId="26" applyFont="true" applyBorder="true" applyAlignment="true" applyProtection="false">
      <alignment horizontal="general" vertical="center" textRotation="0" wrapText="false" indent="0" shrinkToFit="false"/>
      <protection locked="true" hidden="false"/>
    </xf>
    <xf numFmtId="165" fontId="43" fillId="2" borderId="0" xfId="26" applyFont="true" applyBorder="true" applyAlignment="true" applyProtection="false">
      <alignment horizontal="center" vertical="center" textRotation="0" wrapText="false" indent="0" shrinkToFit="false"/>
      <protection locked="true" hidden="false"/>
    </xf>
    <xf numFmtId="174" fontId="39" fillId="2" borderId="0" xfId="26" applyFont="true" applyBorder="false" applyAlignment="false" applyProtection="false">
      <alignment horizontal="general" vertical="bottom" textRotation="0" wrapText="false" indent="0" shrinkToFit="false"/>
      <protection locked="true" hidden="false"/>
    </xf>
    <xf numFmtId="165" fontId="44" fillId="2" borderId="0" xfId="26" applyFont="true" applyBorder="false" applyAlignment="false" applyProtection="false">
      <alignment horizontal="general" vertical="bottom" textRotation="0" wrapText="false" indent="0" shrinkToFit="false"/>
      <protection locked="true" hidden="false"/>
    </xf>
    <xf numFmtId="165" fontId="43" fillId="2" borderId="0" xfId="26" applyFont="true" applyBorder="false" applyAlignment="true" applyProtection="false">
      <alignment horizontal="center" vertical="center" textRotation="0" wrapText="false" indent="0" shrinkToFit="false"/>
      <protection locked="true" hidden="false"/>
    </xf>
    <xf numFmtId="165" fontId="44" fillId="2" borderId="0" xfId="26" applyFont="true" applyBorder="true" applyAlignment="true" applyProtection="false">
      <alignment horizontal="center" vertical="bottom" textRotation="0" wrapText="false" indent="0" shrinkToFit="false"/>
      <protection locked="true" hidden="false"/>
    </xf>
    <xf numFmtId="168" fontId="32" fillId="6" borderId="13" xfId="0" applyFont="true" applyBorder="true" applyAlignment="true" applyProtection="false">
      <alignment horizontal="right" vertical="center" textRotation="0" wrapText="false" indent="0" shrinkToFit="false"/>
      <protection locked="true" hidden="false"/>
    </xf>
    <xf numFmtId="168" fontId="42" fillId="6" borderId="13" xfId="0" applyFont="true" applyBorder="true" applyAlignment="true" applyProtection="false">
      <alignment horizontal="center" vertical="center" textRotation="0" wrapText="true" indent="0" shrinkToFit="false"/>
      <protection locked="true" hidden="false"/>
    </xf>
    <xf numFmtId="171" fontId="32" fillId="7" borderId="13" xfId="0" applyFont="true" applyBorder="true" applyAlignment="false" applyProtection="false">
      <alignment horizontal="general" vertical="bottom" textRotation="0" wrapText="false" indent="0" shrinkToFit="false"/>
      <protection locked="true" hidden="false"/>
    </xf>
    <xf numFmtId="174" fontId="32" fillId="9" borderId="13" xfId="26" applyFont="true" applyBorder="true" applyAlignment="true" applyProtection="false">
      <alignment horizontal="right" vertical="center" textRotation="0" wrapText="false" indent="0" shrinkToFit="false"/>
      <protection locked="true" hidden="false"/>
    </xf>
    <xf numFmtId="165" fontId="20" fillId="2" borderId="32" xfId="26" applyFont="true" applyBorder="true" applyAlignment="true" applyProtection="false">
      <alignment horizontal="center" vertical="center" textRotation="0" wrapText="false" indent="0" shrinkToFit="false"/>
      <protection locked="true" hidden="false"/>
    </xf>
    <xf numFmtId="165" fontId="32" fillId="2" borderId="0" xfId="26" applyFont="true" applyBorder="false" applyAlignment="false" applyProtection="false">
      <alignment horizontal="general" vertical="bottom" textRotation="0" wrapText="false" indent="0" shrinkToFit="false"/>
      <protection locked="true" hidden="false"/>
    </xf>
    <xf numFmtId="165" fontId="11" fillId="2" borderId="0" xfId="26" applyFont="true" applyBorder="true" applyAlignment="false" applyProtection="false">
      <alignment horizontal="general" vertical="bottom" textRotation="0" wrapText="false" indent="0" shrinkToFit="false"/>
      <protection locked="true" hidden="false"/>
    </xf>
    <xf numFmtId="174" fontId="39" fillId="2" borderId="0" xfId="26" applyFont="true" applyBorder="true" applyAlignment="false" applyProtection="false">
      <alignment horizontal="general" vertical="bottom" textRotation="0" wrapText="false" indent="0" shrinkToFit="false"/>
      <protection locked="true" hidden="false"/>
    </xf>
    <xf numFmtId="165" fontId="44" fillId="2" borderId="0" xfId="26" applyFont="true" applyBorder="true" applyAlignment="false" applyProtection="false">
      <alignment horizontal="general" vertical="bottom" textRotation="0" wrapText="false" indent="0" shrinkToFit="false"/>
      <protection locked="true" hidden="false"/>
    </xf>
    <xf numFmtId="165" fontId="32" fillId="2" borderId="0" xfId="26" applyFont="true" applyBorder="true" applyAlignment="true" applyProtection="false">
      <alignment horizontal="center" vertical="center" textRotation="0" wrapText="false" indent="0" shrinkToFit="false"/>
      <protection locked="true" hidden="false"/>
    </xf>
    <xf numFmtId="165" fontId="45" fillId="2" borderId="0" xfId="26" applyFont="true" applyBorder="true" applyAlignment="false" applyProtection="false">
      <alignment horizontal="general" vertical="bottom" textRotation="0" wrapText="false" indent="0" shrinkToFit="false"/>
      <protection locked="true" hidden="false"/>
    </xf>
    <xf numFmtId="165" fontId="41" fillId="3" borderId="28" xfId="26" applyFont="true" applyBorder="true" applyAlignment="false" applyProtection="false">
      <alignment horizontal="general" vertical="bottom" textRotation="0" wrapText="false" indent="0" shrinkToFit="false"/>
      <protection locked="true" hidden="false"/>
    </xf>
    <xf numFmtId="165" fontId="41" fillId="3" borderId="28" xfId="26" applyFont="true" applyBorder="true" applyAlignment="true" applyProtection="false">
      <alignment horizontal="center" vertical="bottom" textRotation="0" wrapText="false" indent="0" shrinkToFit="false"/>
      <protection locked="true" hidden="false"/>
    </xf>
    <xf numFmtId="168" fontId="46" fillId="3" borderId="13" xfId="26" applyFont="true" applyBorder="true" applyAlignment="false" applyProtection="false">
      <alignment horizontal="general" vertical="bottom" textRotation="0" wrapText="false" indent="0" shrinkToFit="false"/>
      <protection locked="true" hidden="false"/>
    </xf>
    <xf numFmtId="165" fontId="47" fillId="3" borderId="13" xfId="26" applyFont="true" applyBorder="true" applyAlignment="false" applyProtection="false">
      <alignment horizontal="general" vertical="bottom" textRotation="0" wrapText="false" indent="0" shrinkToFit="false"/>
      <protection locked="true" hidden="false"/>
    </xf>
    <xf numFmtId="174" fontId="11" fillId="3" borderId="13" xfId="26" applyFont="true" applyBorder="true" applyAlignment="true" applyProtection="false">
      <alignment horizontal="right" vertical="center" textRotation="0" wrapText="false" indent="0" shrinkToFit="false"/>
      <protection locked="true" hidden="false"/>
    </xf>
    <xf numFmtId="174" fontId="11" fillId="2" borderId="13" xfId="26" applyFont="true" applyBorder="true" applyAlignment="false" applyProtection="false">
      <alignment horizontal="general" vertical="bottom" textRotation="0" wrapText="false" indent="0" shrinkToFit="false"/>
      <protection locked="true" hidden="false"/>
    </xf>
    <xf numFmtId="174" fontId="11" fillId="2" borderId="0" xfId="26" applyFont="true" applyBorder="true" applyAlignment="true" applyProtection="false">
      <alignment horizontal="center" vertical="center" textRotation="0" wrapText="false" indent="0" shrinkToFit="false"/>
      <protection locked="true" hidden="false"/>
    </xf>
    <xf numFmtId="165" fontId="46" fillId="3" borderId="13" xfId="26" applyFont="true" applyBorder="true" applyAlignment="false" applyProtection="false">
      <alignment horizontal="general" vertical="bottom" textRotation="0" wrapText="false" indent="0" shrinkToFit="false"/>
      <protection locked="true" hidden="false"/>
    </xf>
    <xf numFmtId="175" fontId="11" fillId="2" borderId="0" xfId="32" applyFont="true" applyBorder="true" applyAlignment="true" applyProtection="true">
      <alignment horizontal="general" vertical="bottom" textRotation="0" wrapText="false" indent="0" shrinkToFit="false"/>
      <protection locked="true" hidden="false"/>
    </xf>
    <xf numFmtId="174" fontId="32" fillId="2" borderId="13" xfId="26" applyFont="true" applyBorder="true" applyAlignment="true" applyProtection="false">
      <alignment horizontal="left" vertical="center" textRotation="0" wrapText="false" indent="0" shrinkToFit="false"/>
      <protection locked="true" hidden="false"/>
    </xf>
    <xf numFmtId="174" fontId="32" fillId="2" borderId="0" xfId="26" applyFont="true" applyBorder="true" applyAlignment="true" applyProtection="false">
      <alignment horizontal="center" vertical="center" textRotation="0" wrapText="false" indent="0" shrinkToFit="false"/>
      <protection locked="true" hidden="false"/>
    </xf>
    <xf numFmtId="174" fontId="11" fillId="2" borderId="0" xfId="26" applyFont="true" applyBorder="true" applyAlignment="false" applyProtection="false">
      <alignment horizontal="general" vertical="bottom" textRotation="0" wrapText="false" indent="0" shrinkToFit="false"/>
      <protection locked="true" hidden="false"/>
    </xf>
    <xf numFmtId="165" fontId="47" fillId="7" borderId="13" xfId="26" applyFont="true" applyBorder="true" applyAlignment="true" applyProtection="false">
      <alignment horizontal="center" vertical="bottom" textRotation="0" wrapText="false" indent="0" shrinkToFit="false"/>
      <protection locked="true" hidden="false"/>
    </xf>
    <xf numFmtId="174" fontId="11" fillId="7" borderId="13" xfId="26" applyFont="true" applyBorder="true" applyAlignment="true" applyProtection="false">
      <alignment horizontal="right" vertical="center" textRotation="0" wrapText="false" indent="0" shrinkToFit="false"/>
      <protection locked="true" hidden="false"/>
    </xf>
    <xf numFmtId="174" fontId="32" fillId="7" borderId="13" xfId="26" applyFont="true" applyBorder="true" applyAlignment="true" applyProtection="false">
      <alignment horizontal="right" vertical="center" textRotation="0" wrapText="false" indent="0" shrinkToFit="false"/>
      <protection locked="true" hidden="false"/>
    </xf>
    <xf numFmtId="165" fontId="48" fillId="2" borderId="13" xfId="26" applyFont="true" applyBorder="true" applyAlignment="true" applyProtection="false">
      <alignment horizontal="center" vertical="center" textRotation="0" wrapText="true" indent="0" shrinkToFit="false"/>
      <protection locked="true" hidden="false"/>
    </xf>
    <xf numFmtId="171" fontId="32" fillId="10" borderId="13" xfId="0" applyFont="true" applyBorder="true" applyAlignment="false" applyProtection="false">
      <alignment horizontal="general" vertical="bottom" textRotation="0" wrapText="false" indent="0" shrinkToFit="false"/>
      <protection locked="true" hidden="false"/>
    </xf>
    <xf numFmtId="174" fontId="32" fillId="10" borderId="13" xfId="0" applyFont="true" applyBorder="true" applyAlignment="false" applyProtection="false">
      <alignment horizontal="general" vertical="bottom" textRotation="0" wrapText="false" indent="0" shrinkToFit="false"/>
      <protection locked="true" hidden="false"/>
    </xf>
    <xf numFmtId="171" fontId="32" fillId="11" borderId="13" xfId="0" applyFont="true" applyBorder="true" applyAlignment="false" applyProtection="false">
      <alignment horizontal="general" vertical="bottom" textRotation="0" wrapText="false" indent="0" shrinkToFit="false"/>
      <protection locked="true" hidden="false"/>
    </xf>
    <xf numFmtId="174" fontId="32" fillId="11" borderId="13" xfId="0" applyFont="true" applyBorder="true" applyAlignment="false" applyProtection="false">
      <alignment horizontal="general" vertical="bottom" textRotation="0" wrapText="false" indent="0" shrinkToFit="false"/>
      <protection locked="true" hidden="false"/>
    </xf>
    <xf numFmtId="171" fontId="32" fillId="11" borderId="0" xfId="0" applyFont="true" applyBorder="true" applyAlignment="false" applyProtection="false">
      <alignment horizontal="general" vertical="bottom" textRotation="0" wrapText="false" indent="0" shrinkToFit="false"/>
      <protection locked="true" hidden="false"/>
    </xf>
    <xf numFmtId="168" fontId="42" fillId="12" borderId="13" xfId="0" applyFont="true" applyBorder="true" applyAlignment="true" applyProtection="false">
      <alignment horizontal="center" vertical="center" textRotation="0" wrapText="false" indent="0" shrinkToFit="false"/>
      <protection locked="true" hidden="false"/>
    </xf>
    <xf numFmtId="171" fontId="32" fillId="12" borderId="13" xfId="0" applyFont="true" applyBorder="true" applyAlignment="false" applyProtection="false">
      <alignment horizontal="general" vertical="bottom" textRotation="0" wrapText="false" indent="0" shrinkToFit="false"/>
      <protection locked="true" hidden="false"/>
    </xf>
    <xf numFmtId="174" fontId="32" fillId="12" borderId="13" xfId="0" applyFont="true" applyBorder="true" applyAlignment="false" applyProtection="false">
      <alignment horizontal="general" vertical="bottom" textRotation="0" wrapText="false" indent="0" shrinkToFit="false"/>
      <protection locked="true" hidden="false"/>
    </xf>
    <xf numFmtId="171" fontId="32" fillId="12" borderId="0" xfId="0" applyFont="true" applyBorder="true" applyAlignment="false" applyProtection="false">
      <alignment horizontal="general" vertical="bottom" textRotation="0" wrapText="false" indent="0" shrinkToFit="false"/>
      <protection locked="true" hidden="false"/>
    </xf>
    <xf numFmtId="165" fontId="11" fillId="12" borderId="0" xfId="26" applyFont="true" applyBorder="false" applyAlignment="false" applyProtection="false">
      <alignment horizontal="general" vertical="bottom" textRotation="0" wrapText="false" indent="0" shrinkToFit="false"/>
      <protection locked="true" hidden="false"/>
    </xf>
    <xf numFmtId="174" fontId="11" fillId="12" borderId="0" xfId="26" applyFont="true" applyBorder="false" applyAlignment="false" applyProtection="false">
      <alignment horizontal="general" vertical="bottom" textRotation="0" wrapText="false" indent="0" shrinkToFit="false"/>
      <protection locked="true" hidden="false"/>
    </xf>
    <xf numFmtId="165" fontId="4" fillId="2" borderId="0" xfId="26" applyFont="false" applyBorder="false" applyAlignment="false" applyProtection="false">
      <alignment horizontal="general" vertical="bottom" textRotation="0" wrapText="false" indent="0" shrinkToFit="false"/>
      <protection locked="true" hidden="false"/>
    </xf>
    <xf numFmtId="175" fontId="11" fillId="9" borderId="13" xfId="19" applyFont="true" applyBorder="true" applyAlignment="true" applyProtection="true">
      <alignment horizontal="general" vertical="bottom" textRotation="0" wrapText="false" indent="0" shrinkToFit="false"/>
      <protection locked="true" hidden="false"/>
    </xf>
    <xf numFmtId="171" fontId="11" fillId="2" borderId="0" xfId="0" applyFont="true" applyBorder="true" applyAlignment="false" applyProtection="false">
      <alignment horizontal="general" vertical="bottom" textRotation="0" wrapText="false" indent="0" shrinkToFit="false"/>
      <protection locked="true" hidden="false"/>
    </xf>
    <xf numFmtId="165" fontId="43" fillId="2" borderId="0" xfId="26" applyFont="true" applyBorder="true" applyAlignment="false" applyProtection="false">
      <alignment horizontal="general" vertical="bottom" textRotation="0" wrapText="false" indent="0" shrinkToFit="false"/>
      <protection locked="true" hidden="false"/>
    </xf>
    <xf numFmtId="165" fontId="49" fillId="3" borderId="13" xfId="26" applyFont="true" applyBorder="true" applyAlignment="false" applyProtection="false">
      <alignment horizontal="general" vertical="bottom" textRotation="0" wrapText="false" indent="0" shrinkToFit="false"/>
      <protection locked="true" hidden="false"/>
    </xf>
    <xf numFmtId="165" fontId="47" fillId="2" borderId="0" xfId="26" applyFont="true" applyBorder="true" applyAlignment="false" applyProtection="false">
      <alignment horizontal="general" vertical="bottom" textRotation="0" wrapText="false" indent="0" shrinkToFit="false"/>
      <protection locked="true" hidden="false"/>
    </xf>
    <xf numFmtId="165" fontId="49" fillId="3" borderId="13" xfId="26" applyFont="true" applyBorder="true" applyAlignment="true" applyProtection="false">
      <alignment horizontal="right" vertical="bottom" textRotation="0" wrapText="false" indent="0" shrinkToFit="false"/>
      <protection locked="true" hidden="false"/>
    </xf>
    <xf numFmtId="174" fontId="32" fillId="2" borderId="0" xfId="26" applyFont="true" applyBorder="true" applyAlignment="true" applyProtection="false">
      <alignment horizontal="right" vertical="center" textRotation="0" wrapText="false" indent="0" shrinkToFit="false"/>
      <protection locked="true" hidden="false"/>
    </xf>
    <xf numFmtId="168" fontId="42" fillId="2" borderId="0" xfId="0" applyFont="true" applyBorder="true" applyAlignment="true" applyProtection="false">
      <alignment horizontal="center" vertical="center" textRotation="0" wrapText="true" indent="0" shrinkToFit="false"/>
      <protection locked="true" hidden="false"/>
    </xf>
    <xf numFmtId="165" fontId="4" fillId="2" borderId="0" xfId="26" applyFont="false" applyBorder="false" applyAlignment="true" applyProtection="false">
      <alignment horizontal="general" vertical="bottom" textRotation="0" wrapText="true" indent="0" shrinkToFit="false"/>
      <protection locked="true" hidden="false"/>
    </xf>
    <xf numFmtId="165" fontId="49" fillId="3" borderId="13" xfId="26" applyFont="true" applyBorder="true" applyAlignment="true" applyProtection="false">
      <alignment horizontal="center" vertical="bottom" textRotation="0" wrapText="false" indent="0" shrinkToFit="false"/>
      <protection locked="true" hidden="false"/>
    </xf>
    <xf numFmtId="171" fontId="32" fillId="3" borderId="13" xfId="0" applyFont="true" applyBorder="true" applyAlignment="false" applyProtection="false">
      <alignment horizontal="general" vertical="bottom" textRotation="0" wrapText="false" indent="0" shrinkToFit="false"/>
      <protection locked="true" hidden="false"/>
    </xf>
    <xf numFmtId="164" fontId="11" fillId="9" borderId="13" xfId="19" applyFont="true" applyBorder="true" applyAlignment="true" applyProtection="true">
      <alignment horizontal="general" vertical="bottom" textRotation="0" wrapText="false" indent="0" shrinkToFit="false"/>
      <protection locked="true" hidden="false"/>
    </xf>
    <xf numFmtId="165" fontId="0" fillId="2" borderId="0" xfId="0" applyFont="false" applyBorder="false" applyAlignment="false" applyProtection="false">
      <alignment horizontal="general" vertical="bottom" textRotation="0" wrapText="false" indent="0" shrinkToFit="false"/>
      <protection locked="true" hidden="false"/>
    </xf>
    <xf numFmtId="165" fontId="50" fillId="2" borderId="0" xfId="0" applyFont="true" applyBorder="false" applyAlignment="false" applyProtection="false">
      <alignment horizontal="general" vertical="bottom" textRotation="0" wrapText="false" indent="0" shrinkToFit="false"/>
      <protection locked="true" hidden="false"/>
    </xf>
    <xf numFmtId="179" fontId="11" fillId="3" borderId="13" xfId="0" applyFont="true" applyBorder="true" applyAlignment="false" applyProtection="false">
      <alignment horizontal="general" vertical="bottom" textRotation="0" wrapText="false" indent="0" shrinkToFit="false"/>
      <protection locked="true" hidden="false"/>
    </xf>
    <xf numFmtId="165" fontId="43" fillId="2" borderId="0" xfId="26" applyFont="true" applyBorder="true" applyAlignment="true" applyProtection="false">
      <alignment horizontal="general" vertical="bottom" textRotation="0" wrapText="true" indent="0" shrinkToFit="false"/>
      <protection locked="true" hidden="false"/>
    </xf>
    <xf numFmtId="165" fontId="32" fillId="2" borderId="0" xfId="26" applyFont="true" applyBorder="true" applyAlignment="true" applyProtection="false">
      <alignment horizontal="center" vertical="center" textRotation="0" wrapText="true" indent="0" shrinkToFit="false"/>
      <protection locked="true" hidden="false"/>
    </xf>
    <xf numFmtId="174" fontId="39" fillId="2" borderId="0" xfId="26" applyFont="true" applyBorder="true" applyAlignment="true" applyProtection="false">
      <alignment horizontal="general" vertical="bottom" textRotation="0" wrapText="true" indent="0" shrinkToFit="false"/>
      <protection locked="true" hidden="false"/>
    </xf>
    <xf numFmtId="165" fontId="45" fillId="2" borderId="0" xfId="26" applyFont="true" applyBorder="true" applyAlignment="true" applyProtection="false">
      <alignment horizontal="general" vertical="bottom" textRotation="0" wrapText="true" indent="0" shrinkToFit="false"/>
      <protection locked="true" hidden="false"/>
    </xf>
    <xf numFmtId="165" fontId="44" fillId="2" borderId="0" xfId="26" applyFont="true" applyBorder="true" applyAlignment="true" applyProtection="false">
      <alignment horizontal="general" vertical="bottom" textRotation="0" wrapText="true" indent="0" shrinkToFit="false"/>
      <protection locked="true" hidden="false"/>
    </xf>
    <xf numFmtId="165" fontId="11" fillId="2" borderId="0" xfId="26" applyFont="true" applyBorder="true" applyAlignment="true" applyProtection="false">
      <alignment horizontal="general" vertical="bottom" textRotation="0" wrapText="true" indent="0" shrinkToFit="false"/>
      <protection locked="true" hidden="false"/>
    </xf>
    <xf numFmtId="165" fontId="11" fillId="2" borderId="0" xfId="26" applyFont="true" applyBorder="false" applyAlignment="true" applyProtection="false">
      <alignment horizontal="general" vertical="bottom" textRotation="0" wrapText="true" indent="0" shrinkToFit="false"/>
      <protection locked="true" hidden="false"/>
    </xf>
    <xf numFmtId="165" fontId="51" fillId="3" borderId="13" xfId="26" applyFont="true" applyBorder="true" applyAlignment="false" applyProtection="false">
      <alignment horizontal="general" vertical="bottom" textRotation="0" wrapText="false" indent="0" shrinkToFit="false"/>
      <protection locked="true" hidden="false"/>
    </xf>
    <xf numFmtId="171" fontId="52" fillId="3" borderId="13" xfId="0" applyFont="true" applyBorder="true" applyAlignment="false" applyProtection="false">
      <alignment horizontal="general" vertical="bottom" textRotation="0" wrapText="false" indent="0" shrinkToFit="false"/>
      <protection locked="true" hidden="false"/>
    </xf>
    <xf numFmtId="165" fontId="33" fillId="2" borderId="0" xfId="26" applyFont="true" applyBorder="true" applyAlignment="true" applyProtection="false">
      <alignment horizontal="general" vertical="bottom" textRotation="0" wrapText="true" indent="0" shrinkToFit="false"/>
      <protection locked="true" hidden="false"/>
    </xf>
    <xf numFmtId="174" fontId="32" fillId="3" borderId="13" xfId="26" applyFont="true" applyBorder="true" applyAlignment="true" applyProtection="false">
      <alignment horizontal="right" vertical="center" textRotation="0" wrapText="false" indent="0" shrinkToFit="false"/>
      <protection locked="true" hidden="false"/>
    </xf>
    <xf numFmtId="165" fontId="53" fillId="2" borderId="0" xfId="26" applyFont="true" applyBorder="true" applyAlignment="false" applyProtection="false">
      <alignment horizontal="general" vertical="bottom" textRotation="0" wrapText="false" indent="0" shrinkToFit="false"/>
      <protection locked="true" hidden="false"/>
    </xf>
    <xf numFmtId="165" fontId="52" fillId="3" borderId="13" xfId="26" applyFont="true" applyBorder="true" applyAlignment="false" applyProtection="false">
      <alignment horizontal="general" vertical="bottom" textRotation="0" wrapText="false" indent="0" shrinkToFit="false"/>
      <protection locked="true" hidden="false"/>
    </xf>
    <xf numFmtId="165" fontId="53" fillId="13" borderId="0" xfId="26" applyFont="true" applyBorder="true" applyAlignment="false" applyProtection="false">
      <alignment horizontal="general" vertical="bottom" textRotation="0" wrapText="false" indent="0" shrinkToFit="false"/>
      <protection locked="true" hidden="false"/>
    </xf>
    <xf numFmtId="171" fontId="32" fillId="9" borderId="13" xfId="0" applyFont="true" applyBorder="true" applyAlignment="false" applyProtection="false">
      <alignment horizontal="general" vertical="bottom" textRotation="0" wrapText="false" indent="0" shrinkToFit="false"/>
      <protection locked="true" hidden="false"/>
    </xf>
    <xf numFmtId="171" fontId="4" fillId="9" borderId="13" xfId="26" applyFont="false" applyBorder="true" applyAlignment="false" applyProtection="false">
      <alignment horizontal="general" vertical="bottom" textRotation="0" wrapText="false" indent="0" shrinkToFit="false"/>
      <protection locked="true" hidden="false"/>
    </xf>
    <xf numFmtId="165" fontId="10" fillId="2" borderId="0" xfId="26" applyFont="true" applyBorder="false" applyAlignment="false" applyProtection="false">
      <alignment horizontal="general" vertical="bottom" textRotation="0" wrapText="false" indent="0" shrinkToFit="false"/>
      <protection locked="true" hidden="false"/>
    </xf>
    <xf numFmtId="165" fontId="32" fillId="9" borderId="13" xfId="0" applyFont="true" applyBorder="true" applyAlignment="false" applyProtection="false">
      <alignment horizontal="general" vertical="bottom" textRotation="0" wrapText="false" indent="0" shrinkToFit="false"/>
      <protection locked="true" hidden="false"/>
    </xf>
    <xf numFmtId="174" fontId="11" fillId="9" borderId="13" xfId="26" applyFont="true" applyBorder="true" applyAlignment="true" applyProtection="false">
      <alignment horizontal="right" vertical="center" textRotation="0" wrapText="false" indent="0" shrinkToFit="false"/>
      <protection locked="true" hidden="false"/>
    </xf>
    <xf numFmtId="174" fontId="4" fillId="9" borderId="13" xfId="26" applyFont="false" applyBorder="true" applyAlignment="false" applyProtection="false">
      <alignment horizontal="general" vertical="bottom" textRotation="0" wrapText="false" indent="0" shrinkToFit="false"/>
      <protection locked="true" hidden="false"/>
    </xf>
    <xf numFmtId="165" fontId="4" fillId="9" borderId="13" xfId="26" applyFont="false" applyBorder="true" applyAlignment="false" applyProtection="false">
      <alignment horizontal="general" vertical="bottom" textRotation="0" wrapText="false" indent="0" shrinkToFit="false"/>
      <protection locked="true" hidden="false"/>
    </xf>
    <xf numFmtId="168" fontId="42" fillId="0" borderId="32" xfId="0" applyFont="true" applyBorder="true" applyAlignment="true" applyProtection="false">
      <alignment horizontal="center" vertical="center" textRotation="0" wrapText="true" indent="0" shrinkToFit="false"/>
      <protection locked="true" hidden="false"/>
    </xf>
    <xf numFmtId="168" fontId="42" fillId="0" borderId="33" xfId="0" applyFont="true" applyBorder="true" applyAlignment="true" applyProtection="false">
      <alignment horizontal="center" vertical="center" textRotation="0" wrapText="true" indent="0" shrinkToFit="false"/>
      <protection locked="true" hidden="false"/>
    </xf>
    <xf numFmtId="168" fontId="42" fillId="6" borderId="34" xfId="0" applyFont="true" applyBorder="true" applyAlignment="true" applyProtection="false">
      <alignment horizontal="center" vertical="center" textRotation="0" wrapText="true" indent="0" shrinkToFit="false"/>
      <protection locked="true" hidden="false"/>
    </xf>
    <xf numFmtId="168" fontId="42" fillId="6" borderId="22" xfId="0" applyFont="true" applyBorder="true" applyAlignment="true" applyProtection="false">
      <alignment horizontal="center" vertical="center" textRotation="0" wrapText="true" indent="0" shrinkToFit="false"/>
      <protection locked="true" hidden="false"/>
    </xf>
    <xf numFmtId="165" fontId="54" fillId="0" borderId="13" xfId="28" applyFont="true" applyBorder="true" applyAlignment="false" applyProtection="false">
      <alignment horizontal="general" vertical="bottom" textRotation="0" wrapText="false" indent="0" shrinkToFit="false"/>
      <protection locked="true" hidden="false"/>
    </xf>
    <xf numFmtId="168" fontId="55" fillId="0" borderId="13" xfId="28" applyFont="true" applyBorder="true" applyAlignment="true" applyProtection="false">
      <alignment horizontal="center" vertical="center" textRotation="0" wrapText="false" indent="0" shrinkToFit="false"/>
      <protection locked="true" hidden="false"/>
    </xf>
    <xf numFmtId="165" fontId="54" fillId="0" borderId="0" xfId="28" applyFont="true" applyBorder="false" applyAlignment="false" applyProtection="false">
      <alignment horizontal="general" vertical="bottom" textRotation="0" wrapText="false" indent="0" shrinkToFit="false"/>
      <protection locked="true" hidden="false"/>
    </xf>
    <xf numFmtId="165" fontId="54" fillId="14" borderId="0" xfId="28" applyFont="true" applyBorder="false" applyAlignment="false" applyProtection="false">
      <alignment horizontal="general" vertical="bottom" textRotation="0" wrapText="false" indent="0" shrinkToFit="false"/>
      <protection locked="true" hidden="false"/>
    </xf>
    <xf numFmtId="174" fontId="56" fillId="15" borderId="13" xfId="28" applyFont="true" applyBorder="true" applyAlignment="true" applyProtection="false">
      <alignment horizontal="center" vertical="center" textRotation="0" wrapText="false" indent="0" shrinkToFit="false"/>
      <protection locked="true" hidden="false"/>
    </xf>
    <xf numFmtId="174" fontId="56" fillId="16" borderId="13" xfId="28" applyFont="true" applyBorder="true" applyAlignment="true" applyProtection="false">
      <alignment horizontal="center" vertical="center" textRotation="0" wrapText="false" indent="0" shrinkToFit="false"/>
      <protection locked="true" hidden="false"/>
    </xf>
    <xf numFmtId="175" fontId="54" fillId="0" borderId="0" xfId="33" applyFont="true" applyBorder="true" applyAlignment="true" applyProtection="true">
      <alignment horizontal="general" vertical="bottom" textRotation="0" wrapText="false" indent="0" shrinkToFit="false"/>
      <protection locked="true" hidden="false"/>
    </xf>
    <xf numFmtId="165" fontId="54" fillId="0" borderId="0" xfId="28" applyFont="true" applyBorder="false" applyAlignment="false" applyProtection="false">
      <alignment horizontal="general" vertical="bottom" textRotation="0" wrapText="false" indent="0" shrinkToFit="false"/>
      <protection locked="true" hidden="false"/>
    </xf>
    <xf numFmtId="175" fontId="56" fillId="16" borderId="13" xfId="32" applyFont="true" applyBorder="true" applyAlignment="true" applyProtection="true">
      <alignment horizontal="center" vertical="center" textRotation="0" wrapText="false" indent="0" shrinkToFit="false"/>
      <protection locked="true" hidden="false"/>
    </xf>
    <xf numFmtId="168" fontId="56" fillId="2" borderId="13" xfId="28" applyFont="true" applyBorder="true" applyAlignment="true" applyProtection="false">
      <alignment horizontal="center" vertical="center" textRotation="0" wrapText="false" indent="0" shrinkToFit="false"/>
      <protection locked="true" hidden="false"/>
    </xf>
    <xf numFmtId="168" fontId="56" fillId="0" borderId="13" xfId="28" applyFont="true" applyBorder="true" applyAlignment="true" applyProtection="false">
      <alignment horizontal="center" vertical="center" textRotation="0" wrapText="false" indent="0" shrinkToFit="false"/>
      <protection locked="true" hidden="false"/>
    </xf>
    <xf numFmtId="168" fontId="56" fillId="0" borderId="13" xfId="28" applyFont="true" applyBorder="true" applyAlignment="true" applyProtection="false">
      <alignment horizontal="center" vertical="center" textRotation="0" wrapText="false" indent="0" shrinkToFit="false"/>
      <protection locked="true" hidden="false"/>
    </xf>
    <xf numFmtId="165" fontId="57" fillId="17" borderId="0" xfId="28" applyFont="true" applyBorder="false" applyAlignment="false" applyProtection="false">
      <alignment horizontal="general" vertical="bottom" textRotation="0" wrapText="false" indent="0" shrinkToFit="false"/>
      <protection locked="true" hidden="false"/>
    </xf>
    <xf numFmtId="168" fontId="56" fillId="16" borderId="13" xfId="28" applyFont="true" applyBorder="true" applyAlignment="true" applyProtection="false">
      <alignment horizontal="center" vertical="center" textRotation="0" wrapText="false" indent="0" shrinkToFit="false"/>
      <protection locked="true" hidden="false"/>
    </xf>
    <xf numFmtId="171" fontId="54" fillId="0" borderId="0" xfId="28" applyFont="true" applyBorder="false" applyAlignment="false" applyProtection="false">
      <alignment horizontal="general" vertical="bottom" textRotation="0" wrapText="false" indent="0" shrinkToFit="false"/>
      <protection locked="true" hidden="false"/>
    </xf>
    <xf numFmtId="168" fontId="56" fillId="18" borderId="13" xfId="28" applyFont="true" applyBorder="true" applyAlignment="true" applyProtection="false">
      <alignment horizontal="center" vertical="center" textRotation="0" wrapText="false" indent="0" shrinkToFit="false"/>
      <protection locked="true" hidden="false"/>
    </xf>
    <xf numFmtId="165" fontId="8" fillId="19" borderId="0" xfId="28" applyFont="true" applyBorder="false" applyAlignment="false" applyProtection="false">
      <alignment horizontal="general" vertical="bottom" textRotation="0" wrapText="false" indent="0" shrinkToFit="false"/>
      <protection locked="true" hidden="false"/>
    </xf>
    <xf numFmtId="168" fontId="56" fillId="15" borderId="13" xfId="28" applyFont="true" applyBorder="true" applyAlignment="true" applyProtection="false">
      <alignment horizontal="center" vertical="center" textRotation="0" wrapText="false" indent="0" shrinkToFit="false"/>
      <protection locked="true" hidden="false"/>
    </xf>
    <xf numFmtId="168" fontId="56" fillId="2" borderId="13" xfId="33" applyFont="true" applyBorder="true" applyAlignment="true" applyProtection="true">
      <alignment horizontal="center" vertical="center" textRotation="0" wrapText="false" indent="0" shrinkToFit="false"/>
      <protection locked="true" hidden="false"/>
    </xf>
    <xf numFmtId="165" fontId="8" fillId="20" borderId="0" xfId="28" applyFont="true" applyBorder="false" applyAlignment="false" applyProtection="false">
      <alignment horizontal="general" vertical="bottom" textRotation="0" wrapText="false" indent="0" shrinkToFit="false"/>
      <protection locked="true" hidden="false"/>
    </xf>
    <xf numFmtId="165" fontId="8" fillId="21" borderId="0" xfId="28" applyFont="true" applyBorder="false" applyAlignment="false" applyProtection="false">
      <alignment horizontal="general" vertical="bottom" textRotation="0" wrapText="false" indent="0" shrinkToFit="false"/>
      <protection locked="true" hidden="false"/>
    </xf>
    <xf numFmtId="165" fontId="8" fillId="0" borderId="0" xfId="28" applyFont="false" applyBorder="false" applyAlignment="false" applyProtection="false">
      <alignment horizontal="general" vertical="bottom" textRotation="0" wrapText="false" indent="0" shrinkToFit="false"/>
      <protection locked="true" hidden="false"/>
    </xf>
    <xf numFmtId="175" fontId="8" fillId="0" borderId="0" xfId="28" applyFont="false" applyBorder="false" applyAlignment="false" applyProtection="false">
      <alignment horizontal="general" vertical="bottom" textRotation="0" wrapText="false" indent="0" shrinkToFit="false"/>
      <protection locked="true" hidden="false"/>
    </xf>
    <xf numFmtId="165" fontId="58" fillId="0" borderId="0" xfId="28" applyFont="true" applyBorder="false" applyAlignment="false" applyProtection="false">
      <alignment horizontal="general" vertical="bottom" textRotation="0" wrapText="false" indent="0" shrinkToFit="false"/>
      <protection locked="true" hidden="false"/>
    </xf>
    <xf numFmtId="165" fontId="8" fillId="0" borderId="0" xfId="28" applyFont="false" applyBorder="false" applyAlignment="false" applyProtection="false">
      <alignment horizontal="general" vertical="bottom" textRotation="0" wrapText="false" indent="0" shrinkToFit="false"/>
      <protection locked="true" hidden="false"/>
    </xf>
    <xf numFmtId="165" fontId="58" fillId="0" borderId="13" xfId="28" applyFont="true" applyBorder="true" applyAlignment="false" applyProtection="false">
      <alignment horizontal="general" vertical="bottom" textRotation="0" wrapText="false" indent="0" shrinkToFit="false"/>
      <protection locked="true" hidden="false"/>
    </xf>
    <xf numFmtId="165" fontId="8" fillId="0" borderId="13" xfId="28" applyFont="false" applyBorder="true" applyAlignment="false" applyProtection="false">
      <alignment horizontal="general" vertical="bottom" textRotation="0" wrapText="false" indent="0" shrinkToFit="false"/>
      <protection locked="true" hidden="false"/>
    </xf>
    <xf numFmtId="174" fontId="8" fillId="0" borderId="0" xfId="28" applyFont="false" applyBorder="false" applyAlignment="false" applyProtection="false">
      <alignment horizontal="general" vertical="bottom" textRotation="0" wrapText="false" indent="0" shrinkToFit="false"/>
      <protection locked="true" hidden="false"/>
    </xf>
    <xf numFmtId="165" fontId="59" fillId="0" borderId="13" xfId="28" applyFont="true" applyBorder="true" applyAlignment="false" applyProtection="false">
      <alignment horizontal="general" vertical="bottom" textRotation="0" wrapText="false" indent="0" shrinkToFit="false"/>
      <protection locked="true" hidden="false"/>
    </xf>
    <xf numFmtId="175" fontId="8" fillId="13" borderId="13" xfId="32" applyFont="true" applyBorder="true" applyAlignment="true" applyProtection="true">
      <alignment horizontal="general" vertical="bottom" textRotation="0" wrapText="false" indent="0" shrinkToFit="false"/>
      <protection locked="true" hidden="false"/>
    </xf>
    <xf numFmtId="165" fontId="8" fillId="0" borderId="13" xfId="28" applyFont="true" applyBorder="true" applyAlignment="false" applyProtection="false">
      <alignment horizontal="general" vertical="bottom" textRotation="0" wrapText="false" indent="0" shrinkToFit="false"/>
      <protection locked="true" hidden="false"/>
    </xf>
    <xf numFmtId="174" fontId="8" fillId="13" borderId="13" xfId="28" applyFont="false" applyBorder="true" applyAlignment="false" applyProtection="false">
      <alignment horizontal="general" vertical="bottom" textRotation="0" wrapText="false" indent="0" shrinkToFit="false"/>
      <protection locked="true" hidden="false"/>
    </xf>
    <xf numFmtId="174" fontId="60" fillId="13" borderId="13" xfId="33" applyFont="true" applyBorder="true" applyAlignment="true" applyProtection="true">
      <alignment horizontal="general" vertical="bottom" textRotation="0" wrapText="false" indent="0" shrinkToFit="false"/>
      <protection locked="true" hidden="false"/>
    </xf>
    <xf numFmtId="169" fontId="0" fillId="0" borderId="0" xfId="33" applyFont="true" applyBorder="true" applyAlignment="true" applyProtection="true">
      <alignment horizontal="general" vertical="bottom" textRotation="0" wrapText="false" indent="0" shrinkToFit="false"/>
      <protection locked="true" hidden="false"/>
    </xf>
    <xf numFmtId="175" fontId="8" fillId="13" borderId="13" xfId="28" applyFont="false" applyBorder="true" applyAlignment="false" applyProtection="false">
      <alignment horizontal="general" vertical="bottom" textRotation="0" wrapText="false" indent="0" shrinkToFit="false"/>
      <protection locked="true" hidden="false"/>
    </xf>
    <xf numFmtId="175" fontId="60" fillId="13" borderId="13" xfId="33" applyFont="true" applyBorder="true" applyAlignment="true" applyProtection="true">
      <alignment horizontal="general" vertical="bottom" textRotation="0" wrapText="false" indent="0" shrinkToFit="false"/>
      <protection locked="true" hidden="false"/>
    </xf>
    <xf numFmtId="165" fontId="63" fillId="2" borderId="0" xfId="0" applyFont="true" applyBorder="false" applyAlignment="false" applyProtection="false">
      <alignment horizontal="general" vertical="bottom" textRotation="0" wrapText="false" indent="0" shrinkToFit="false"/>
      <protection locked="true" hidden="false"/>
    </xf>
    <xf numFmtId="165" fontId="32" fillId="7" borderId="0" xfId="0" applyFont="true" applyBorder="false" applyAlignment="false" applyProtection="false">
      <alignment horizontal="general" vertical="bottom" textRotation="0" wrapText="false" indent="0" shrinkToFit="false"/>
      <protection locked="true" hidden="false"/>
    </xf>
    <xf numFmtId="165" fontId="32" fillId="6" borderId="25" xfId="0" applyFont="true" applyBorder="true" applyAlignment="true" applyProtection="false">
      <alignment horizontal="center" vertical="center" textRotation="0" wrapText="false" indent="0" shrinkToFit="false"/>
      <protection locked="true" hidden="false"/>
    </xf>
    <xf numFmtId="174" fontId="11" fillId="6" borderId="13" xfId="0" applyFont="true" applyBorder="true" applyAlignment="true" applyProtection="false">
      <alignment horizontal="center" vertical="bottom" textRotation="0" wrapText="false" indent="0" shrinkToFit="false"/>
      <protection locked="true" hidden="false"/>
    </xf>
    <xf numFmtId="165" fontId="32" fillId="6" borderId="13" xfId="0" applyFont="true" applyBorder="true" applyAlignment="true" applyProtection="false">
      <alignment horizontal="center" vertical="center" textRotation="0" wrapText="false" indent="0" shrinkToFit="false"/>
      <protection locked="true" hidden="false"/>
    </xf>
    <xf numFmtId="174" fontId="63" fillId="2" borderId="0" xfId="0" applyFont="true" applyBorder="false" applyAlignment="false" applyProtection="false">
      <alignment horizontal="general" vertical="bottom" textRotation="0" wrapText="false" indent="0" shrinkToFit="false"/>
      <protection locked="true" hidden="false"/>
    </xf>
    <xf numFmtId="174" fontId="64" fillId="2" borderId="0" xfId="0" applyFont="true" applyBorder="true" applyAlignment="false" applyProtection="false">
      <alignment horizontal="general" vertical="bottom" textRotation="0" wrapText="false" indent="0" shrinkToFit="false"/>
      <protection locked="true" hidden="false"/>
    </xf>
    <xf numFmtId="174" fontId="11" fillId="2" borderId="0" xfId="0" applyFont="true" applyBorder="false" applyAlignment="false" applyProtection="false">
      <alignment horizontal="general" vertical="bottom" textRotation="0" wrapText="false" indent="0" shrinkToFit="false"/>
      <protection locked="true" hidden="false"/>
    </xf>
    <xf numFmtId="165" fontId="43" fillId="2" borderId="0" xfId="0" applyFont="true" applyBorder="true" applyAlignment="true" applyProtection="false">
      <alignment horizontal="center" vertical="center" textRotation="0" wrapText="false" indent="0" shrinkToFit="false"/>
      <protection locked="true" hidden="false"/>
    </xf>
    <xf numFmtId="165" fontId="43" fillId="22" borderId="35" xfId="0" applyFont="true" applyBorder="true" applyAlignment="true" applyProtection="false">
      <alignment horizontal="center" vertical="center" textRotation="0" wrapText="false" indent="0" shrinkToFit="false"/>
      <protection locked="true" hidden="false"/>
    </xf>
    <xf numFmtId="165" fontId="43" fillId="22" borderId="36" xfId="0" applyFont="true" applyBorder="true" applyAlignment="true" applyProtection="false">
      <alignment horizontal="center" vertical="center" textRotation="0" wrapText="false" indent="0" shrinkToFit="false"/>
      <protection locked="true" hidden="false"/>
    </xf>
    <xf numFmtId="165" fontId="63" fillId="22" borderId="37" xfId="31" applyFont="true" applyBorder="true" applyAlignment="true" applyProtection="false">
      <alignment horizontal="left" vertical="center" textRotation="0" wrapText="true" indent="0" shrinkToFit="false"/>
      <protection locked="true" hidden="false"/>
    </xf>
    <xf numFmtId="168" fontId="11" fillId="2" borderId="35" xfId="0" applyFont="true" applyBorder="true" applyAlignment="true" applyProtection="false">
      <alignment horizontal="general" vertical="center" textRotation="0" wrapText="false" indent="0" shrinkToFit="false"/>
      <protection locked="true" hidden="false"/>
    </xf>
    <xf numFmtId="168" fontId="11" fillId="2" borderId="36" xfId="0" applyFont="true" applyBorder="true" applyAlignment="true" applyProtection="false">
      <alignment horizontal="general" vertical="center" textRotation="0" wrapText="false" indent="0" shrinkToFit="false"/>
      <protection locked="true" hidden="false"/>
    </xf>
    <xf numFmtId="169" fontId="11" fillId="2" borderId="35" xfId="19" applyFont="true" applyBorder="true" applyAlignment="true" applyProtection="true">
      <alignment horizontal="general" vertical="center" textRotation="0" wrapText="false" indent="0" shrinkToFit="false"/>
      <protection locked="true" hidden="false"/>
    </xf>
    <xf numFmtId="165" fontId="63" fillId="22" borderId="38" xfId="31" applyFont="true" applyBorder="true" applyAlignment="true" applyProtection="false">
      <alignment horizontal="left" vertical="center" textRotation="0" wrapText="true" indent="0" shrinkToFit="false"/>
      <protection locked="true" hidden="false"/>
    </xf>
    <xf numFmtId="168" fontId="11" fillId="2" borderId="39" xfId="0" applyFont="true" applyBorder="true" applyAlignment="true" applyProtection="false">
      <alignment horizontal="general" vertical="center" textRotation="0" wrapText="false" indent="0" shrinkToFit="false"/>
      <protection locked="true" hidden="false"/>
    </xf>
    <xf numFmtId="168" fontId="11" fillId="2" borderId="40" xfId="0" applyFont="true" applyBorder="true" applyAlignment="true" applyProtection="false">
      <alignment horizontal="general" vertical="center" textRotation="0" wrapText="false" indent="0" shrinkToFit="false"/>
      <protection locked="true" hidden="false"/>
    </xf>
    <xf numFmtId="169" fontId="11" fillId="2" borderId="39" xfId="19" applyFont="true" applyBorder="true" applyAlignment="true" applyProtection="true">
      <alignment horizontal="general" vertical="center" textRotation="0" wrapText="false" indent="0" shrinkToFit="false"/>
      <protection locked="true" hidden="false"/>
    </xf>
    <xf numFmtId="165" fontId="63" fillId="22" borderId="41" xfId="31" applyFont="true" applyBorder="true" applyAlignment="true" applyProtection="false">
      <alignment horizontal="left" vertical="center" textRotation="0" wrapText="true" indent="0" shrinkToFit="false"/>
      <protection locked="true" hidden="false"/>
    </xf>
    <xf numFmtId="168" fontId="11" fillId="2" borderId="42" xfId="0" applyFont="true" applyBorder="true" applyAlignment="true" applyProtection="false">
      <alignment horizontal="general" vertical="center" textRotation="0" wrapText="false" indent="0" shrinkToFit="false"/>
      <protection locked="true" hidden="false"/>
    </xf>
    <xf numFmtId="168" fontId="11" fillId="2" borderId="43" xfId="0" applyFont="true" applyBorder="true" applyAlignment="true" applyProtection="false">
      <alignment horizontal="general" vertical="center" textRotation="0" wrapText="false" indent="0" shrinkToFit="false"/>
      <protection locked="true" hidden="false"/>
    </xf>
    <xf numFmtId="168" fontId="11" fillId="2" borderId="44" xfId="0" applyFont="true" applyBorder="true" applyAlignment="true" applyProtection="false">
      <alignment horizontal="general" vertical="center" textRotation="0" wrapText="false" indent="0" shrinkToFit="false"/>
      <protection locked="true" hidden="false"/>
    </xf>
    <xf numFmtId="169" fontId="11" fillId="2" borderId="42" xfId="19" applyFont="true" applyBorder="true" applyAlignment="true" applyProtection="true">
      <alignment horizontal="general" vertical="center" textRotation="0" wrapText="false" indent="0" shrinkToFit="false"/>
      <protection locked="true" hidden="false"/>
    </xf>
    <xf numFmtId="165" fontId="43" fillId="22" borderId="39" xfId="0" applyFont="true" applyBorder="true" applyAlignment="true" applyProtection="false">
      <alignment horizontal="center" vertical="center" textRotation="0" wrapText="false" indent="0" shrinkToFit="false"/>
      <protection locked="true" hidden="false"/>
    </xf>
    <xf numFmtId="165" fontId="43" fillId="2" borderId="0" xfId="0" applyFont="true" applyBorder="true" applyAlignment="true" applyProtection="false">
      <alignment horizontal="center" vertical="center" textRotation="0" wrapText="true" indent="0" shrinkToFit="false"/>
      <protection locked="true" hidden="false"/>
    </xf>
    <xf numFmtId="165" fontId="63" fillId="22" borderId="39" xfId="31" applyFont="true" applyBorder="true" applyAlignment="true" applyProtection="false">
      <alignment horizontal="left" vertical="center" textRotation="0" wrapText="true" indent="0" shrinkToFit="false"/>
      <protection locked="true" hidden="false"/>
    </xf>
    <xf numFmtId="178" fontId="11" fillId="2" borderId="39" xfId="0" applyFont="true" applyBorder="true" applyAlignment="true" applyProtection="false">
      <alignment horizontal="right" vertical="center" textRotation="0" wrapText="false" indent="0" shrinkToFit="false"/>
      <protection locked="true" hidden="false"/>
    </xf>
    <xf numFmtId="169" fontId="11" fillId="2" borderId="39" xfId="19" applyFont="true" applyBorder="true" applyAlignment="true" applyProtection="true">
      <alignment horizontal="right" vertical="center" textRotation="0" wrapText="false" indent="0" shrinkToFit="false"/>
      <protection locked="true" hidden="false"/>
    </xf>
    <xf numFmtId="175" fontId="11" fillId="2" borderId="0" xfId="19" applyFont="true" applyBorder="true" applyAlignment="true" applyProtection="true">
      <alignment horizontal="right" vertical="center" textRotation="0" wrapText="false" indent="0" shrinkToFit="false"/>
      <protection locked="true" hidden="false"/>
    </xf>
    <xf numFmtId="165" fontId="43" fillId="22" borderId="39" xfId="31" applyFont="true" applyBorder="true" applyAlignment="true" applyProtection="false">
      <alignment horizontal="right" vertical="center" textRotation="0" wrapText="true" indent="0" shrinkToFit="false"/>
      <protection locked="true" hidden="false"/>
    </xf>
    <xf numFmtId="174" fontId="32" fillId="2" borderId="39" xfId="0" applyFont="true" applyBorder="true" applyAlignment="true" applyProtection="false">
      <alignment horizontal="right" vertical="center" textRotation="0" wrapText="false" indent="0" shrinkToFit="false"/>
      <protection locked="true" hidden="false"/>
    </xf>
    <xf numFmtId="169" fontId="32" fillId="2" borderId="39" xfId="19" applyFont="true" applyBorder="true" applyAlignment="true" applyProtection="true">
      <alignment horizontal="right" vertical="center" textRotation="0" wrapText="false" indent="0" shrinkToFit="false"/>
      <protection locked="true" hidden="false"/>
    </xf>
    <xf numFmtId="169" fontId="32" fillId="13" borderId="39" xfId="19" applyFont="true" applyBorder="true" applyAlignment="true" applyProtection="true">
      <alignment horizontal="right" vertical="center" textRotation="0" wrapText="false" indent="0" shrinkToFit="false"/>
      <protection locked="true" hidden="false"/>
    </xf>
    <xf numFmtId="174" fontId="32" fillId="2" borderId="0" xfId="0" applyFont="true" applyBorder="true" applyAlignment="true" applyProtection="false">
      <alignment horizontal="right" vertical="center" textRotation="0" wrapText="false" indent="0" shrinkToFit="false"/>
      <protection locked="true" hidden="false"/>
    </xf>
    <xf numFmtId="175" fontId="32" fillId="2" borderId="0" xfId="19" applyFont="true" applyBorder="true" applyAlignment="true" applyProtection="true">
      <alignment horizontal="right" vertical="center" textRotation="0" wrapText="false" indent="0" shrinkToFit="false"/>
      <protection locked="true" hidden="false"/>
    </xf>
    <xf numFmtId="175" fontId="43" fillId="2" borderId="0" xfId="19" applyFont="true" applyBorder="true" applyAlignment="true" applyProtection="true">
      <alignment horizontal="right" vertical="center" textRotation="0" wrapText="false" indent="0" shrinkToFit="false"/>
      <protection locked="true" hidden="false"/>
    </xf>
    <xf numFmtId="165" fontId="63" fillId="2" borderId="0" xfId="0" applyFont="true" applyBorder="true" applyAlignment="false" applyProtection="false">
      <alignment horizontal="general" vertical="bottom" textRotation="0" wrapText="false" indent="0" shrinkToFit="false"/>
      <protection locked="true" hidden="false"/>
    </xf>
    <xf numFmtId="165" fontId="11" fillId="2" borderId="0" xfId="0" applyFont="true" applyBorder="true" applyAlignment="true" applyProtection="false">
      <alignment horizontal="left" vertical="center" textRotation="0" wrapText="true" indent="0" shrinkToFit="false"/>
      <protection locked="true" hidden="false"/>
    </xf>
    <xf numFmtId="178" fontId="32" fillId="2" borderId="39" xfId="0" applyFont="true" applyBorder="true" applyAlignment="true" applyProtection="false">
      <alignment horizontal="right" vertical="center" textRotation="0" wrapText="false" indent="0" shrinkToFit="false"/>
      <protection locked="true" hidden="false"/>
    </xf>
    <xf numFmtId="178" fontId="11" fillId="2" borderId="39" xfId="0" applyFont="true" applyBorder="true" applyAlignment="false" applyProtection="false">
      <alignment horizontal="general" vertical="bottom" textRotation="0" wrapText="false" indent="0" shrinkToFit="false"/>
      <protection locked="true" hidden="false"/>
    </xf>
    <xf numFmtId="178" fontId="11" fillId="2" borderId="39" xfId="0" applyFont="true" applyBorder="true" applyAlignment="true" applyProtection="false">
      <alignment horizontal="right" vertical="bottom" textRotation="0" wrapText="false" indent="0" shrinkToFit="false"/>
      <protection locked="true" hidden="false"/>
    </xf>
    <xf numFmtId="164" fontId="11" fillId="2" borderId="39" xfId="19" applyFont="true" applyBorder="true" applyAlignment="true" applyProtection="true">
      <alignment horizontal="right" vertical="center" textRotation="0" wrapText="false" indent="0" shrinkToFit="false"/>
      <protection locked="true" hidden="false"/>
    </xf>
    <xf numFmtId="178" fontId="32" fillId="2" borderId="39" xfId="0" applyFont="true" applyBorder="true" applyAlignment="false" applyProtection="false">
      <alignment horizontal="general" vertical="bottom" textRotation="0" wrapText="false" indent="0" shrinkToFit="false"/>
      <protection locked="true" hidden="false"/>
    </xf>
    <xf numFmtId="178" fontId="32" fillId="2" borderId="39" xfId="0" applyFont="true" applyBorder="true" applyAlignment="true" applyProtection="false">
      <alignment horizontal="right" vertical="bottom" textRotation="0" wrapText="false" indent="0" shrinkToFit="false"/>
      <protection locked="true" hidden="false"/>
    </xf>
    <xf numFmtId="165" fontId="20" fillId="22" borderId="0" xfId="31" applyFont="true" applyBorder="true" applyAlignment="true" applyProtection="false">
      <alignment horizontal="center" vertical="center" textRotation="0" wrapText="true" indent="0" shrinkToFit="false"/>
      <protection locked="true" hidden="false"/>
    </xf>
    <xf numFmtId="178" fontId="20" fillId="2" borderId="0" xfId="0" applyFont="true" applyBorder="true" applyAlignment="false" applyProtection="false">
      <alignment horizontal="general" vertical="bottom" textRotation="0" wrapText="false" indent="0" shrinkToFit="false"/>
      <protection locked="true" hidden="false"/>
    </xf>
    <xf numFmtId="174" fontId="32" fillId="2" borderId="0" xfId="0" applyFont="true" applyBorder="true" applyAlignment="false" applyProtection="false">
      <alignment horizontal="general" vertical="bottom" textRotation="0" wrapText="false" indent="0" shrinkToFit="false"/>
      <protection locked="true" hidden="false"/>
    </xf>
    <xf numFmtId="165" fontId="32" fillId="13" borderId="0" xfId="26" applyFont="true" applyBorder="false" applyAlignment="false" applyProtection="false">
      <alignment horizontal="general" vertical="bottom" textRotation="0" wrapText="false" indent="0" shrinkToFit="false"/>
      <protection locked="true" hidden="false"/>
    </xf>
    <xf numFmtId="178" fontId="11" fillId="13" borderId="39" xfId="0" applyFont="true" applyBorder="true" applyAlignment="false" applyProtection="false">
      <alignment horizontal="general" vertical="bottom" textRotation="0" wrapText="false" indent="0" shrinkToFit="false"/>
      <protection locked="true" hidden="false"/>
    </xf>
    <xf numFmtId="169" fontId="11" fillId="13" borderId="39" xfId="19" applyFont="true" applyBorder="true" applyAlignment="true" applyProtection="true">
      <alignment horizontal="right" vertical="center" textRotation="0" wrapText="false" indent="0" shrinkToFit="false"/>
      <protection locked="true" hidden="false"/>
    </xf>
    <xf numFmtId="178" fontId="32" fillId="13" borderId="39" xfId="0" applyFont="true" applyBorder="true" applyAlignment="false" applyProtection="false">
      <alignment horizontal="general" vertical="bottom" textRotation="0" wrapText="false" indent="0" shrinkToFit="false"/>
      <protection locked="true" hidden="false"/>
    </xf>
    <xf numFmtId="165" fontId="20" fillId="2" borderId="0" xfId="31" applyFont="true" applyBorder="true" applyAlignment="true" applyProtection="false">
      <alignment horizontal="center" vertical="center" textRotation="0" wrapText="true" indent="0" shrinkToFit="false"/>
      <protection locked="true" hidden="false"/>
    </xf>
    <xf numFmtId="178" fontId="20" fillId="0" borderId="0" xfId="0" applyFont="true" applyBorder="true" applyAlignment="false" applyProtection="false">
      <alignment horizontal="general" vertical="bottom" textRotation="0" wrapText="false" indent="0" shrinkToFit="false"/>
      <protection locked="true" hidden="false"/>
    </xf>
    <xf numFmtId="175" fontId="11" fillId="2" borderId="0" xfId="32" applyFont="true" applyBorder="true" applyAlignment="true" applyProtection="true">
      <alignment horizontal="right" vertical="center" textRotation="0" wrapText="false" indent="0" shrinkToFit="false"/>
      <protection locked="true" hidden="false"/>
    </xf>
    <xf numFmtId="175" fontId="43" fillId="2" borderId="0" xfId="32" applyFont="true" applyBorder="true" applyAlignment="true" applyProtection="true">
      <alignment horizontal="right" vertical="center" textRotation="0" wrapText="false" indent="0" shrinkToFit="false"/>
      <protection locked="true" hidden="false"/>
    </xf>
    <xf numFmtId="165" fontId="43" fillId="22" borderId="39" xfId="0" applyFont="true" applyBorder="true" applyAlignment="true" applyProtection="false">
      <alignment horizontal="center" vertical="center" textRotation="0" wrapText="true" indent="0" shrinkToFit="false"/>
      <protection locked="true" hidden="false"/>
    </xf>
    <xf numFmtId="178" fontId="11" fillId="0" borderId="39" xfId="0" applyFont="true" applyBorder="true" applyAlignment="true" applyProtection="false">
      <alignment horizontal="center" vertical="center" textRotation="0" wrapText="false" indent="0" shrinkToFit="false"/>
      <protection locked="true" hidden="false"/>
    </xf>
    <xf numFmtId="178" fontId="32" fillId="2" borderId="39" xfId="0" applyFont="true" applyBorder="true" applyAlignment="true" applyProtection="false">
      <alignment horizontal="center" vertical="center" textRotation="0" wrapText="fals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78" fontId="11" fillId="0" borderId="39" xfId="0" applyFont="true" applyBorder="true" applyAlignment="true" applyProtection="false">
      <alignment horizontal="right" vertical="center" textRotation="0" wrapText="false" indent="0" shrinkToFit="false"/>
      <protection locked="true" hidden="false"/>
    </xf>
    <xf numFmtId="169" fontId="11" fillId="0" borderId="39" xfId="19" applyFont="true" applyBorder="true" applyAlignment="true" applyProtection="true">
      <alignment horizontal="right" vertical="center" textRotation="0" wrapText="false" indent="0" shrinkToFit="false"/>
      <protection locked="true" hidden="false"/>
    </xf>
    <xf numFmtId="178" fontId="32" fillId="0" borderId="39" xfId="0" applyFont="true" applyBorder="true" applyAlignment="true" applyProtection="false">
      <alignment horizontal="right" vertical="center" textRotation="0" wrapText="false" indent="0" shrinkToFit="false"/>
      <protection locked="true" hidden="false"/>
    </xf>
    <xf numFmtId="169" fontId="32" fillId="0" borderId="39" xfId="19" applyFont="true" applyBorder="true" applyAlignment="true" applyProtection="true">
      <alignment horizontal="right" vertical="center" textRotation="0" wrapText="false" indent="0" shrinkToFit="false"/>
      <protection locked="true" hidden="false"/>
    </xf>
    <xf numFmtId="178" fontId="11" fillId="2" borderId="0" xfId="0" applyFont="true" applyBorder="false" applyAlignment="false" applyProtection="false">
      <alignment horizontal="general" vertical="bottom" textRotation="0" wrapText="false" indent="0" shrinkToFit="false"/>
      <protection locked="true" hidden="false"/>
    </xf>
    <xf numFmtId="178" fontId="11" fillId="0" borderId="39" xfId="0" applyFont="true" applyBorder="true" applyAlignment="false" applyProtection="false">
      <alignment horizontal="general" vertical="bottom" textRotation="0" wrapText="false" indent="0" shrinkToFit="false"/>
      <protection locked="true" hidden="false"/>
    </xf>
    <xf numFmtId="178" fontId="32" fillId="0" borderId="39" xfId="0" applyFont="true" applyBorder="true" applyAlignment="false" applyProtection="false">
      <alignment horizontal="general" vertical="bottom" textRotation="0" wrapText="false" indent="0" shrinkToFit="false"/>
      <protection locked="true" hidden="false"/>
    </xf>
    <xf numFmtId="177" fontId="41" fillId="2" borderId="0" xfId="0" applyFont="true" applyBorder="true" applyAlignment="false" applyProtection="false">
      <alignment horizontal="general" vertical="bottom" textRotation="0" wrapText="false" indent="0" shrinkToFit="false"/>
      <protection locked="true" hidden="false"/>
    </xf>
    <xf numFmtId="165" fontId="20" fillId="2" borderId="0" xfId="31" applyFont="true" applyBorder="true" applyAlignment="true" applyProtection="false">
      <alignment horizontal="left" vertical="center" textRotation="0" wrapText="false" indent="0" shrinkToFit="false"/>
      <protection locked="true" hidden="false"/>
    </xf>
    <xf numFmtId="174" fontId="69" fillId="2" borderId="0" xfId="0" applyFont="true" applyBorder="true" applyAlignment="false" applyProtection="false">
      <alignment horizontal="general" vertical="bottom" textRotation="0" wrapText="false" indent="0" shrinkToFit="false"/>
      <protection locked="true" hidden="false"/>
    </xf>
    <xf numFmtId="165" fontId="33" fillId="2" borderId="0" xfId="31" applyFont="true" applyBorder="true" applyAlignment="true" applyProtection="false">
      <alignment horizontal="left" vertical="center" textRotation="0" wrapText="false" indent="0" shrinkToFit="false"/>
      <protection locked="true" hidden="false"/>
    </xf>
    <xf numFmtId="180" fontId="69" fillId="2" borderId="0" xfId="0" applyFont="true" applyBorder="true" applyAlignment="false" applyProtection="false">
      <alignment horizontal="general" vertical="bottom" textRotation="0" wrapText="false" indent="0" shrinkToFit="false"/>
      <protection locked="true" hidden="false"/>
    </xf>
    <xf numFmtId="165" fontId="33" fillId="13" borderId="0" xfId="31" applyFont="true" applyBorder="true" applyAlignment="true" applyProtection="false">
      <alignment horizontal="left" vertical="center" textRotation="0" wrapText="false" indent="0" shrinkToFit="false"/>
      <protection locked="true" hidden="false"/>
    </xf>
    <xf numFmtId="165" fontId="11" fillId="2" borderId="0" xfId="0" applyFont="true" applyBorder="true" applyAlignment="true" applyProtection="false">
      <alignment horizontal="center" vertical="center" textRotation="0" wrapText="false" indent="0" shrinkToFit="false"/>
      <protection locked="true" hidden="false"/>
    </xf>
    <xf numFmtId="165" fontId="63" fillId="22" borderId="39" xfId="31" applyFont="true" applyBorder="true" applyAlignment="true" applyProtection="false">
      <alignment horizontal="center" vertical="center" textRotation="0" wrapText="true" indent="0" shrinkToFit="false"/>
      <protection locked="true" hidden="false"/>
    </xf>
    <xf numFmtId="168" fontId="11" fillId="2" borderId="39" xfId="0" applyFont="true" applyBorder="true" applyAlignment="true" applyProtection="false">
      <alignment horizontal="center" vertical="center" textRotation="0" wrapText="false" indent="0" shrinkToFit="false"/>
      <protection locked="true" hidden="false"/>
    </xf>
    <xf numFmtId="169" fontId="11" fillId="2" borderId="39" xfId="19" applyFont="true" applyBorder="true" applyAlignment="true" applyProtection="true">
      <alignment horizontal="general" vertical="bottom" textRotation="0" wrapText="false" indent="0" shrinkToFit="false"/>
      <protection locked="true" hidden="false"/>
    </xf>
    <xf numFmtId="178" fontId="11" fillId="0" borderId="39" xfId="0" applyFont="true" applyBorder="true" applyAlignment="false" applyProtection="false">
      <alignment horizontal="general" vertical="bottom" textRotation="0" wrapText="false" indent="0" shrinkToFit="false"/>
      <protection locked="true" hidden="false"/>
    </xf>
    <xf numFmtId="174" fontId="11" fillId="2" borderId="0" xfId="32" applyFont="true" applyBorder="true" applyAlignment="true" applyProtection="true">
      <alignment horizontal="right" vertical="center" textRotation="0" wrapText="false" indent="0" shrinkToFit="false"/>
      <protection locked="true" hidden="false"/>
    </xf>
    <xf numFmtId="178" fontId="11" fillId="0" borderId="39" xfId="0" applyFont="true" applyBorder="true" applyAlignment="true" applyProtection="false">
      <alignment horizontal="right" vertical="bottom" textRotation="0" wrapText="false" indent="0" shrinkToFit="false"/>
      <protection locked="true" hidden="false"/>
    </xf>
    <xf numFmtId="165" fontId="43" fillId="22" borderId="39" xfId="31" applyFont="true" applyBorder="true" applyAlignment="true" applyProtection="false">
      <alignment horizontal="left" vertical="center" textRotation="0" wrapText="true" indent="0" shrinkToFit="false"/>
      <protection locked="true" hidden="false"/>
    </xf>
    <xf numFmtId="168" fontId="32" fillId="2" borderId="39" xfId="0" applyFont="true" applyBorder="true" applyAlignment="false" applyProtection="false">
      <alignment horizontal="general" vertical="bottom" textRotation="0" wrapText="false" indent="0" shrinkToFit="false"/>
      <protection locked="true" hidden="false"/>
    </xf>
    <xf numFmtId="168" fontId="11" fillId="2" borderId="39" xfId="0" applyFont="true" applyBorder="true" applyAlignment="false" applyProtection="false">
      <alignment horizontal="general" vertical="bottom" textRotation="0" wrapText="false" indent="0" shrinkToFit="false"/>
      <protection locked="true" hidden="false"/>
    </xf>
    <xf numFmtId="165" fontId="11" fillId="2" borderId="0" xfId="0" applyFont="true" applyBorder="true" applyAlignment="false" applyProtection="false">
      <alignment horizontal="general" vertical="bottom" textRotation="0" wrapText="false" indent="0" shrinkToFit="false"/>
      <protection locked="true" hidden="false"/>
    </xf>
    <xf numFmtId="165" fontId="43" fillId="22" borderId="35" xfId="0" applyFont="true" applyBorder="true" applyAlignment="true" applyProtection="false">
      <alignment horizontal="center" vertical="center" textRotation="0" wrapText="true" indent="0" shrinkToFit="false"/>
      <protection locked="true" hidden="false"/>
    </xf>
    <xf numFmtId="164" fontId="11" fillId="2" borderId="39" xfId="0" applyFont="true" applyBorder="true" applyAlignment="false" applyProtection="false">
      <alignment horizontal="general" vertical="bottom" textRotation="0" wrapText="false" indent="0" shrinkToFit="false"/>
      <protection locked="true" hidden="false"/>
    </xf>
    <xf numFmtId="168" fontId="11" fillId="2" borderId="0" xfId="0" applyFont="true" applyBorder="true" applyAlignment="true" applyProtection="false">
      <alignment horizontal="center" vertical="center" textRotation="0" wrapText="false" indent="0" shrinkToFit="false"/>
      <protection locked="true" hidden="false"/>
    </xf>
    <xf numFmtId="174" fontId="32" fillId="2" borderId="0" xfId="0" applyFont="true" applyBorder="true" applyAlignment="true" applyProtection="false">
      <alignment horizontal="center" vertical="center" textRotation="0" wrapText="false" indent="0" shrinkToFit="false"/>
      <protection locked="true" hidden="false"/>
    </xf>
    <xf numFmtId="168" fontId="63" fillId="22" borderId="39" xfId="31" applyFont="true" applyBorder="true" applyAlignment="true" applyProtection="false">
      <alignment horizontal="left" vertical="center" textRotation="0" wrapText="true" indent="0" shrinkToFit="false"/>
      <protection locked="true" hidden="false"/>
    </xf>
    <xf numFmtId="175" fontId="11" fillId="2" borderId="39" xfId="19" applyFont="true" applyBorder="true" applyAlignment="true" applyProtection="true">
      <alignment horizontal="general" vertical="center" textRotation="0" wrapText="fals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65" fontId="32" fillId="23" borderId="45" xfId="0" applyFont="true" applyBorder="true" applyAlignment="true" applyProtection="false">
      <alignment horizontal="center" vertical="center" textRotation="0" wrapText="false" indent="0" shrinkToFit="false"/>
      <protection locked="true" hidden="false"/>
    </xf>
    <xf numFmtId="174" fontId="32" fillId="23" borderId="17" xfId="0" applyFont="true" applyBorder="true" applyAlignment="false" applyProtection="false">
      <alignment horizontal="general" vertical="bottom" textRotation="0" wrapText="false" indent="0" shrinkToFit="false"/>
      <protection locked="true" hidden="false"/>
    </xf>
    <xf numFmtId="165" fontId="32" fillId="15" borderId="29" xfId="0" applyFont="true" applyBorder="true" applyAlignment="true" applyProtection="false">
      <alignment horizontal="center" vertical="center" textRotation="0" wrapText="false" indent="0" shrinkToFit="false"/>
      <protection locked="true" hidden="false"/>
    </xf>
    <xf numFmtId="165" fontId="32" fillId="23" borderId="11" xfId="0" applyFont="true" applyBorder="true" applyAlignment="true" applyProtection="false">
      <alignment horizontal="center" vertical="center" textRotation="0" wrapText="false" indent="0" shrinkToFit="false"/>
      <protection locked="true" hidden="false"/>
    </xf>
    <xf numFmtId="165" fontId="32" fillId="18" borderId="31" xfId="0" applyFont="true" applyBorder="true" applyAlignment="true" applyProtection="false">
      <alignment horizontal="center" vertical="center" textRotation="0" wrapText="false" indent="0" shrinkToFit="false"/>
      <protection locked="true" hidden="false"/>
    </xf>
    <xf numFmtId="174" fontId="11" fillId="0" borderId="13" xfId="0" applyFont="true" applyBorder="true" applyAlignment="false" applyProtection="false">
      <alignment horizontal="general" vertical="bottom" textRotation="0" wrapText="false" indent="0" shrinkToFit="false"/>
      <protection locked="true" hidden="false"/>
    </xf>
    <xf numFmtId="165" fontId="32" fillId="23" borderId="31" xfId="0" applyFont="true" applyBorder="true" applyAlignment="true" applyProtection="false">
      <alignment horizontal="center" vertical="center" textRotation="0" wrapText="false" indent="0" shrinkToFit="false"/>
      <protection locked="true" hidden="false"/>
    </xf>
    <xf numFmtId="165" fontId="32" fillId="18" borderId="13" xfId="0" applyFont="true" applyBorder="true" applyAlignment="true" applyProtection="false">
      <alignment horizontal="center" vertical="center" textRotation="0" wrapText="false" indent="0" shrinkToFit="false"/>
      <protection locked="true" hidden="false"/>
    </xf>
    <xf numFmtId="165" fontId="11" fillId="18" borderId="13" xfId="0" applyFont="true" applyBorder="true" applyAlignment="true" applyProtection="false">
      <alignment horizontal="center" vertical="center" textRotation="0" wrapText="false" indent="0" shrinkToFit="false"/>
      <protection locked="true" hidden="false"/>
    </xf>
    <xf numFmtId="179" fontId="32" fillId="18" borderId="13" xfId="0" applyFont="true" applyBorder="true" applyAlignment="true" applyProtection="false">
      <alignment horizontal="center" vertical="center" textRotation="0" wrapText="false" indent="0" shrinkToFit="false"/>
      <protection locked="true" hidden="false"/>
    </xf>
    <xf numFmtId="179" fontId="11" fillId="18" borderId="13" xfId="0" applyFont="true" applyBorder="true" applyAlignment="true" applyProtection="false">
      <alignment horizontal="center" vertical="center" textRotation="0" wrapText="false" indent="0" shrinkToFit="false"/>
      <protection locked="true" hidden="false"/>
    </xf>
    <xf numFmtId="165" fontId="76" fillId="0" borderId="0" xfId="0" applyFont="true" applyBorder="false" applyAlignment="false" applyProtection="false">
      <alignment horizontal="general" vertical="bottom" textRotation="0" wrapText="false" indent="0" shrinkToFit="false"/>
      <protection locked="true" hidden="false"/>
    </xf>
    <xf numFmtId="165" fontId="76" fillId="2" borderId="0" xfId="0" applyFont="true" applyBorder="true" applyAlignment="false" applyProtection="false">
      <alignment horizontal="general" vertical="bottom" textRotation="0" wrapText="false" indent="0" shrinkToFit="false"/>
      <protection locked="true" hidden="false"/>
    </xf>
    <xf numFmtId="165" fontId="76" fillId="2" borderId="0" xfId="0" applyFont="true" applyBorder="false" applyAlignment="false" applyProtection="false">
      <alignment horizontal="general" vertical="bottom" textRotation="0" wrapText="false" indent="0" shrinkToFit="false"/>
      <protection locked="true" hidden="false"/>
    </xf>
    <xf numFmtId="165" fontId="41" fillId="6" borderId="25" xfId="0" applyFont="true" applyBorder="true" applyAlignment="true" applyProtection="false">
      <alignment horizontal="center" vertical="center" textRotation="0" wrapText="false" indent="0" shrinkToFit="false"/>
      <protection locked="true" hidden="false"/>
    </xf>
    <xf numFmtId="165" fontId="41" fillId="2" borderId="0" xfId="0" applyFont="true" applyBorder="true" applyAlignment="true" applyProtection="false">
      <alignment horizontal="center" vertical="center" textRotation="0" wrapText="false" indent="0" shrinkToFit="false"/>
      <protection locked="true" hidden="false"/>
    </xf>
    <xf numFmtId="165" fontId="77" fillId="2" borderId="0" xfId="0" applyFont="true" applyBorder="true" applyAlignment="true" applyProtection="false">
      <alignment horizontal="center" vertical="center" textRotation="0" wrapText="false" indent="0" shrinkToFit="false"/>
      <protection locked="true" hidden="false"/>
    </xf>
    <xf numFmtId="168" fontId="39" fillId="6" borderId="13" xfId="0" applyFont="true" applyBorder="true" applyAlignment="true" applyProtection="false">
      <alignment horizontal="center" vertical="bottom" textRotation="0" wrapText="false" indent="0" shrinkToFit="false"/>
      <protection locked="true" hidden="false"/>
    </xf>
    <xf numFmtId="165" fontId="39" fillId="2" borderId="0" xfId="0" applyFont="true" applyBorder="true" applyAlignment="true" applyProtection="false">
      <alignment horizontal="center" vertical="bottom" textRotation="0" wrapText="false" indent="0" shrinkToFit="false"/>
      <protection locked="true" hidden="false"/>
    </xf>
    <xf numFmtId="165" fontId="76" fillId="2" borderId="0" xfId="0" applyFont="true" applyBorder="true" applyAlignment="true" applyProtection="false">
      <alignment horizontal="center" vertical="bottom" textRotation="0" wrapText="false" indent="0" shrinkToFit="false"/>
      <protection locked="true" hidden="false"/>
    </xf>
    <xf numFmtId="165" fontId="41" fillId="6" borderId="13" xfId="0" applyFont="true" applyBorder="true" applyAlignment="true" applyProtection="false">
      <alignment horizontal="center" vertical="center" textRotation="0" wrapText="false" indent="0" shrinkToFit="false"/>
      <protection locked="true" hidden="false"/>
    </xf>
    <xf numFmtId="165" fontId="39" fillId="6" borderId="13" xfId="0" applyFont="true" applyBorder="true" applyAlignment="true" applyProtection="false">
      <alignment horizontal="center" vertical="bottom" textRotation="0" wrapText="false" indent="0" shrinkToFit="false"/>
      <protection locked="true" hidden="false"/>
    </xf>
    <xf numFmtId="165" fontId="42" fillId="2" borderId="0" xfId="27" applyFont="true" applyBorder="false" applyAlignment="false" applyProtection="false">
      <alignment horizontal="general" vertical="bottom" textRotation="0" wrapText="false" indent="0" shrinkToFit="false"/>
      <protection locked="true" hidden="false"/>
    </xf>
    <xf numFmtId="174" fontId="39" fillId="2" borderId="0" xfId="0" applyFont="true" applyBorder="true" applyAlignment="true" applyProtection="false">
      <alignment horizontal="center" vertical="bottom" textRotation="0" wrapText="false" indent="0" shrinkToFit="false"/>
      <protection locked="true" hidden="false"/>
    </xf>
    <xf numFmtId="174" fontId="76" fillId="2" borderId="0" xfId="0" applyFont="true" applyBorder="true" applyAlignment="true" applyProtection="false">
      <alignment horizontal="center" vertical="bottom" textRotation="0" wrapText="false" indent="0" shrinkToFit="false"/>
      <protection locked="true" hidden="false"/>
    </xf>
    <xf numFmtId="165" fontId="41" fillId="2" borderId="0" xfId="0" applyFont="true" applyBorder="true" applyAlignment="true" applyProtection="false">
      <alignment horizontal="left" vertical="center" textRotation="0" wrapText="false" indent="0" shrinkToFit="false"/>
      <protection locked="true" hidden="false"/>
    </xf>
    <xf numFmtId="165" fontId="32" fillId="2" borderId="0" xfId="27" applyFont="true" applyBorder="false" applyAlignment="false" applyProtection="false">
      <alignment horizontal="general" vertical="bottom" textRotation="0" wrapText="false" indent="0" shrinkToFit="false"/>
      <protection locked="true" hidden="false"/>
    </xf>
    <xf numFmtId="165" fontId="43" fillId="22" borderId="13" xfId="0" applyFont="true" applyBorder="true" applyAlignment="true" applyProtection="false">
      <alignment horizontal="center" vertical="center" textRotation="0" wrapText="false" indent="0" shrinkToFit="false"/>
      <protection locked="true" hidden="false"/>
    </xf>
    <xf numFmtId="165" fontId="63" fillId="22" borderId="13" xfId="31" applyFont="true" applyBorder="true" applyAlignment="true" applyProtection="false">
      <alignment horizontal="left" vertical="center" textRotation="0" wrapText="true" indent="0" shrinkToFit="false"/>
      <protection locked="true" hidden="false"/>
    </xf>
    <xf numFmtId="178" fontId="11" fillId="2" borderId="13" xfId="0" applyFont="true" applyBorder="true" applyAlignment="true" applyProtection="false">
      <alignment horizontal="right" vertical="center" textRotation="0" wrapText="false" indent="0" shrinkToFit="false"/>
      <protection locked="true" hidden="false"/>
    </xf>
    <xf numFmtId="169" fontId="11" fillId="2" borderId="13" xfId="32" applyFont="true" applyBorder="true" applyAlignment="true" applyProtection="true">
      <alignment horizontal="right" vertical="center" textRotation="0" wrapText="false" indent="0" shrinkToFit="false"/>
      <protection locked="true" hidden="false"/>
    </xf>
    <xf numFmtId="165" fontId="63" fillId="22" borderId="13" xfId="31" applyFont="true" applyBorder="true" applyAlignment="true" applyProtection="false">
      <alignment horizontal="left" vertical="center" textRotation="0" wrapText="false" indent="0" shrinkToFit="false"/>
      <protection locked="true" hidden="false"/>
    </xf>
    <xf numFmtId="178" fontId="11" fillId="0" borderId="13" xfId="0" applyFont="true" applyBorder="true" applyAlignment="true" applyProtection="false">
      <alignment horizontal="right" vertical="center" textRotation="0" wrapText="false" indent="0" shrinkToFit="false"/>
      <protection locked="true" hidden="false"/>
    </xf>
    <xf numFmtId="165" fontId="43" fillId="22" borderId="13" xfId="31" applyFont="true" applyBorder="true" applyAlignment="true" applyProtection="false">
      <alignment horizontal="right" vertical="center" textRotation="0" wrapText="true" indent="0" shrinkToFit="false"/>
      <protection locked="true" hidden="false"/>
    </xf>
    <xf numFmtId="174" fontId="32" fillId="2" borderId="13" xfId="0" applyFont="true" applyBorder="true" applyAlignment="true" applyProtection="false">
      <alignment horizontal="right" vertical="center" textRotation="0" wrapText="false" indent="0" shrinkToFit="false"/>
      <protection locked="true" hidden="false"/>
    </xf>
    <xf numFmtId="169" fontId="32" fillId="2" borderId="13" xfId="32" applyFont="true" applyBorder="true" applyAlignment="true" applyProtection="true">
      <alignment horizontal="right" vertical="center" textRotation="0" wrapText="false" indent="0" shrinkToFit="false"/>
      <protection locked="true" hidden="false"/>
    </xf>
    <xf numFmtId="165" fontId="78" fillId="2" borderId="0" xfId="0" applyFont="true" applyBorder="true" applyAlignment="true" applyProtection="false">
      <alignment horizontal="left" vertical="center" textRotation="0" wrapText="false" indent="0" shrinkToFit="false"/>
      <protection locked="true" hidden="false"/>
    </xf>
    <xf numFmtId="174" fontId="20" fillId="2" borderId="13" xfId="0" applyFont="true" applyBorder="true" applyAlignment="true" applyProtection="false">
      <alignment horizontal="right" vertical="center" textRotation="0" wrapText="false" indent="0" shrinkToFit="false"/>
      <protection locked="true" hidden="false"/>
    </xf>
    <xf numFmtId="165" fontId="32" fillId="2" borderId="0" xfId="0" applyFont="true" applyBorder="true" applyAlignment="true" applyProtection="false">
      <alignment horizontal="left" vertical="center" textRotation="0" wrapText="false" indent="0" shrinkToFit="false"/>
      <protection locked="true" hidden="false"/>
    </xf>
    <xf numFmtId="174" fontId="20" fillId="2" borderId="0" xfId="0" applyFont="true" applyBorder="true" applyAlignment="true" applyProtection="false">
      <alignment horizontal="right" vertical="center" textRotation="0" wrapText="false" indent="0" shrinkToFit="false"/>
      <protection locked="true" hidden="false"/>
    </xf>
    <xf numFmtId="165" fontId="43" fillId="2" borderId="0" xfId="31" applyFont="true" applyBorder="true" applyAlignment="true" applyProtection="false">
      <alignment horizontal="right" vertical="center" textRotation="0" wrapText="true" indent="0" shrinkToFit="false"/>
      <protection locked="true" hidden="false"/>
    </xf>
    <xf numFmtId="165" fontId="63" fillId="22" borderId="13" xfId="0" applyFont="true" applyBorder="true" applyAlignment="true" applyProtection="false">
      <alignment horizontal="left" vertical="center" textRotation="0" wrapText="true" indent="0" shrinkToFit="false"/>
      <protection locked="true" hidden="false"/>
    </xf>
    <xf numFmtId="178" fontId="11" fillId="2" borderId="13" xfId="0" applyFont="true" applyBorder="true" applyAlignment="false" applyProtection="false">
      <alignment horizontal="general" vertical="bottom" textRotation="0" wrapText="false" indent="0" shrinkToFit="false"/>
      <protection locked="true" hidden="false"/>
    </xf>
    <xf numFmtId="178" fontId="32" fillId="2" borderId="13" xfId="0" applyFont="true" applyBorder="true" applyAlignment="false" applyProtection="false">
      <alignment horizontal="general" vertical="bottom" textRotation="0" wrapText="false" indent="0" shrinkToFit="false"/>
      <protection locked="true" hidden="false"/>
    </xf>
    <xf numFmtId="178" fontId="32" fillId="2" borderId="0" xfId="0" applyFont="true" applyBorder="true" applyAlignment="false" applyProtection="false">
      <alignment horizontal="general" vertical="bottom" textRotation="0" wrapText="false" indent="0" shrinkToFit="false"/>
      <protection locked="true" hidden="false"/>
    </xf>
    <xf numFmtId="178" fontId="32" fillId="2" borderId="0" xfId="32" applyFont="true" applyBorder="true" applyAlignment="true" applyProtection="true">
      <alignment horizontal="right" vertical="center" textRotation="0" wrapText="false" indent="0" shrinkToFit="false"/>
      <protection locked="true" hidden="false"/>
    </xf>
    <xf numFmtId="169" fontId="32" fillId="2" borderId="0" xfId="0" applyFont="true" applyBorder="true" applyAlignment="false" applyProtection="false">
      <alignment horizontal="general" vertical="bottom" textRotation="0" wrapText="false" indent="0" shrinkToFit="false"/>
      <protection locked="true" hidden="false"/>
    </xf>
    <xf numFmtId="165" fontId="32" fillId="2" borderId="0" xfId="31" applyFont="true" applyBorder="true" applyAlignment="true" applyProtection="false">
      <alignment horizontal="left" vertical="center" textRotation="0" wrapText="false" indent="0" shrinkToFit="false"/>
      <protection locked="true" hidden="false"/>
    </xf>
    <xf numFmtId="168" fontId="11" fillId="2" borderId="13" xfId="0" applyFont="true" applyBorder="true" applyAlignment="true" applyProtection="false">
      <alignment horizontal="right" vertical="center" textRotation="0" wrapText="false" indent="0" shrinkToFit="false"/>
      <protection locked="true" hidden="false"/>
    </xf>
    <xf numFmtId="165" fontId="43" fillId="2" borderId="46" xfId="31" applyFont="true" applyBorder="true" applyAlignment="true" applyProtection="false">
      <alignment horizontal="right" vertical="center" textRotation="0" wrapText="true" indent="0" shrinkToFit="false"/>
      <protection locked="true" hidden="false"/>
    </xf>
    <xf numFmtId="174" fontId="32" fillId="2" borderId="47" xfId="0" applyFont="true" applyBorder="true" applyAlignment="true" applyProtection="false">
      <alignment horizontal="right" vertical="center" textRotation="0" wrapText="false" indent="0" shrinkToFit="false"/>
      <protection locked="true" hidden="false"/>
    </xf>
    <xf numFmtId="169" fontId="11" fillId="2" borderId="47" xfId="32" applyFont="true" applyBorder="true" applyAlignment="true" applyProtection="true">
      <alignment horizontal="right" vertical="center" textRotation="0" wrapText="false" indent="0" shrinkToFit="false"/>
      <protection locked="true" hidden="false"/>
    </xf>
    <xf numFmtId="169" fontId="11" fillId="2" borderId="0" xfId="32" applyFont="true" applyBorder="true" applyAlignment="true" applyProtection="true">
      <alignment horizontal="right" vertical="center" textRotation="0" wrapText="false" indent="0" shrinkToFit="false"/>
      <protection locked="true" hidden="false"/>
    </xf>
    <xf numFmtId="165" fontId="39" fillId="0" borderId="0" xfId="0" applyFont="true" applyBorder="false" applyAlignment="false" applyProtection="false">
      <alignment horizontal="general" vertical="bottom" textRotation="0" wrapText="false" indent="0" shrinkToFit="false"/>
      <protection locked="true" hidden="false"/>
    </xf>
    <xf numFmtId="168" fontId="63" fillId="22" borderId="13" xfId="31" applyFont="true" applyBorder="true" applyAlignment="true" applyProtection="false">
      <alignment horizontal="left" vertical="center" textRotation="0" wrapText="true" indent="0" shrinkToFit="false"/>
      <protection locked="true" hidden="false"/>
    </xf>
    <xf numFmtId="165" fontId="11" fillId="2" borderId="0" xfId="27" applyFont="true" applyBorder="false" applyAlignment="false" applyProtection="false">
      <alignment horizontal="general" vertical="bottom" textRotation="0" wrapText="false" indent="0" shrinkToFit="false"/>
      <protection locked="true" hidden="false"/>
    </xf>
    <xf numFmtId="165" fontId="20" fillId="2" borderId="0" xfId="27" applyFont="true" applyBorder="false" applyAlignment="false" applyProtection="false">
      <alignment horizontal="general" vertical="bottom" textRotation="0" wrapText="false" indent="0" shrinkToFit="false"/>
      <protection locked="true" hidden="false"/>
    </xf>
    <xf numFmtId="169" fontId="11" fillId="0" borderId="13" xfId="32" applyFont="true" applyBorder="true" applyAlignment="true" applyProtection="true">
      <alignment horizontal="right" vertical="center" textRotation="0" wrapText="false" indent="0" shrinkToFit="false"/>
      <protection locked="true" hidden="false"/>
    </xf>
    <xf numFmtId="174" fontId="32" fillId="0" borderId="13" xfId="0" applyFont="true" applyBorder="true" applyAlignment="true" applyProtection="false">
      <alignment horizontal="right" vertical="center" textRotation="0" wrapText="false" indent="0" shrinkToFit="false"/>
      <protection locked="true" hidden="false"/>
    </xf>
    <xf numFmtId="165" fontId="11" fillId="2" borderId="0" xfId="31" applyFont="true" applyBorder="true" applyAlignment="true" applyProtection="false">
      <alignment horizontal="left" vertical="center" textRotation="0" wrapText="false" indent="0" shrinkToFit="false"/>
      <protection locked="true" hidden="false"/>
    </xf>
    <xf numFmtId="165" fontId="32" fillId="0" borderId="0" xfId="27" applyFont="true" applyBorder="false" applyAlignment="false" applyProtection="false">
      <alignment horizontal="general" vertical="bottom" textRotation="0" wrapText="false" indent="0" shrinkToFit="false"/>
      <protection locked="true" hidden="false"/>
    </xf>
    <xf numFmtId="178" fontId="32" fillId="0" borderId="0" xfId="0" applyFont="true" applyBorder="true" applyAlignment="false" applyProtection="false">
      <alignment horizontal="general" vertical="bottom" textRotation="0" wrapText="false" indent="0" shrinkToFit="false"/>
      <protection locked="true" hidden="false"/>
    </xf>
    <xf numFmtId="178" fontId="32" fillId="13" borderId="0" xfId="0" applyFont="true" applyBorder="true" applyAlignment="false" applyProtection="false">
      <alignment horizontal="general" vertical="bottom" textRotation="0" wrapText="false" indent="0" shrinkToFit="false"/>
      <protection locked="true" hidden="false"/>
    </xf>
    <xf numFmtId="165" fontId="63" fillId="22" borderId="13" xfId="0" applyFont="true" applyBorder="true" applyAlignment="true" applyProtection="false">
      <alignment horizontal="left" vertical="center" textRotation="0" wrapText="false" indent="0" shrinkToFit="false"/>
      <protection locked="true" hidden="false"/>
    </xf>
    <xf numFmtId="165" fontId="82" fillId="2" borderId="0" xfId="0" applyFont="true" applyBorder="true" applyAlignment="true" applyProtection="false">
      <alignment horizontal="right" vertical="bottom" textRotation="0" wrapText="true" indent="0" shrinkToFit="false"/>
      <protection locked="true" hidden="false"/>
    </xf>
    <xf numFmtId="174" fontId="83" fillId="2" borderId="0" xfId="0" applyFont="true" applyBorder="true" applyAlignment="true" applyProtection="false">
      <alignment horizontal="right" vertical="bottom" textRotation="0" wrapText="true" indent="0" shrinkToFit="false"/>
      <protection locked="true" hidden="false"/>
    </xf>
    <xf numFmtId="165" fontId="84" fillId="2" borderId="0" xfId="0" applyFont="true" applyBorder="true" applyAlignment="true" applyProtection="false">
      <alignment horizontal="center" vertical="center" textRotation="0" wrapText="false" indent="0" shrinkToFit="false"/>
      <protection locked="true" hidden="false"/>
    </xf>
    <xf numFmtId="174" fontId="76" fillId="2" borderId="0" xfId="0" applyFont="true" applyBorder="true" applyAlignment="true" applyProtection="false">
      <alignment horizontal="right" vertical="center" textRotation="0" wrapText="true" indent="0" shrinkToFit="false"/>
      <protection locked="true" hidden="false"/>
    </xf>
    <xf numFmtId="165" fontId="84" fillId="2" borderId="0" xfId="0" applyFont="true" applyBorder="true" applyAlignment="true" applyProtection="false">
      <alignment horizontal="general" vertical="bottom" textRotation="0" wrapText="true" indent="0" shrinkToFit="false"/>
      <protection locked="true" hidden="false"/>
    </xf>
    <xf numFmtId="165" fontId="42" fillId="2" borderId="0" xfId="27" applyFont="true" applyBorder="false" applyAlignment="true" applyProtection="false">
      <alignment horizontal="general" vertical="bottom" textRotation="0" wrapText="false" indent="0" shrinkToFit="false"/>
      <protection locked="true" hidden="false"/>
    </xf>
    <xf numFmtId="179" fontId="76" fillId="2" borderId="0" xfId="0" applyFont="true" applyBorder="true" applyAlignment="true" applyProtection="false">
      <alignment horizontal="right" vertical="bottom" textRotation="0" wrapText="true" indent="0" shrinkToFit="false"/>
      <protection locked="true" hidden="false"/>
    </xf>
    <xf numFmtId="168" fontId="76" fillId="2" borderId="0" xfId="0" applyFont="true" applyBorder="true" applyAlignment="true" applyProtection="false">
      <alignment horizontal="right" vertical="bottom" textRotation="0" wrapText="true" indent="0" shrinkToFit="false"/>
      <protection locked="true" hidden="false"/>
    </xf>
    <xf numFmtId="179" fontId="76" fillId="2" borderId="0" xfId="0" applyFont="true" applyBorder="true" applyAlignment="true" applyProtection="false">
      <alignment horizontal="right" vertical="center" textRotation="0" wrapText="true" indent="0" shrinkToFit="false"/>
      <protection locked="true" hidden="false"/>
    </xf>
    <xf numFmtId="168" fontId="76" fillId="2" borderId="0" xfId="0" applyFont="true" applyBorder="true" applyAlignment="true" applyProtection="false">
      <alignment horizontal="right" vertical="center" textRotation="0" wrapText="true" indent="0" shrinkToFit="false"/>
      <protection locked="true" hidden="false"/>
    </xf>
    <xf numFmtId="165" fontId="43" fillId="22" borderId="13" xfId="0" applyFont="true" applyBorder="true" applyAlignment="true" applyProtection="false">
      <alignment horizontal="left" vertical="center" textRotation="0" wrapText="false" indent="0" shrinkToFit="false"/>
      <protection locked="true" hidden="false"/>
    </xf>
    <xf numFmtId="165" fontId="63" fillId="22" borderId="13" xfId="0" applyFont="true" applyBorder="true" applyAlignment="true" applyProtection="false">
      <alignment horizontal="center" vertical="center" textRotation="0" wrapText="false" indent="0" shrinkToFit="false"/>
      <protection locked="true" hidden="false"/>
    </xf>
    <xf numFmtId="165" fontId="63" fillId="22" borderId="13" xfId="31" applyFont="true" applyBorder="true" applyAlignment="true" applyProtection="false">
      <alignment horizontal="right" vertical="center" textRotation="0" wrapText="true" indent="0" shrinkToFit="false"/>
      <protection locked="true" hidden="false"/>
    </xf>
    <xf numFmtId="165" fontId="85" fillId="22" borderId="13" xfId="0" applyFont="true" applyBorder="true" applyAlignment="true" applyProtection="false">
      <alignment horizontal="left" vertical="center" textRotation="0" wrapText="false" indent="0" shrinkToFit="false"/>
      <protection locked="true" hidden="false"/>
    </xf>
    <xf numFmtId="165" fontId="32" fillId="0" borderId="0" xfId="0" applyFont="true" applyBorder="false" applyAlignment="true" applyProtection="false">
      <alignment horizontal="general" vertical="bottom" textRotation="0" wrapText="false" indent="0" shrinkToFit="false"/>
      <protection locked="true" hidden="false"/>
    </xf>
    <xf numFmtId="165" fontId="63" fillId="22" borderId="39" xfId="0" applyFont="true" applyBorder="true" applyAlignment="true" applyProtection="false">
      <alignment horizontal="left" vertical="center" textRotation="0" wrapText="true" indent="0" shrinkToFit="false"/>
      <protection locked="true" hidden="false"/>
    </xf>
    <xf numFmtId="165" fontId="63" fillId="22" borderId="39" xfId="0" applyFont="true" applyBorder="true" applyAlignment="true" applyProtection="false">
      <alignment horizontal="center" vertical="center" textRotation="0" wrapText="true" indent="0" shrinkToFit="false"/>
      <protection locked="true" hidden="false"/>
    </xf>
    <xf numFmtId="168" fontId="39" fillId="2" borderId="39" xfId="0" applyFont="true" applyBorder="true" applyAlignment="true" applyProtection="false">
      <alignment horizontal="center" vertical="center" textRotation="0" wrapText="true" indent="0" shrinkToFit="false"/>
      <protection locked="true" hidden="false"/>
    </xf>
    <xf numFmtId="178" fontId="39" fillId="2" borderId="39" xfId="0" applyFont="true" applyBorder="true" applyAlignment="true" applyProtection="false">
      <alignment horizontal="center" vertical="center" textRotation="0" wrapText="true" indent="0" shrinkToFit="false"/>
      <protection locked="true" hidden="false"/>
    </xf>
    <xf numFmtId="165" fontId="63" fillId="10" borderId="22" xfId="0" applyFont="true" applyBorder="true" applyAlignment="true" applyProtection="false">
      <alignment horizontal="left" vertical="center" textRotation="0" wrapText="true" indent="0" shrinkToFit="false"/>
      <protection locked="true" hidden="false"/>
    </xf>
    <xf numFmtId="165" fontId="63" fillId="10" borderId="22" xfId="0" applyFont="true" applyBorder="true" applyAlignment="true" applyProtection="false">
      <alignment horizontal="center" vertical="center" textRotation="0" wrapText="true" indent="0" shrinkToFit="false"/>
      <protection locked="true" hidden="false"/>
    </xf>
    <xf numFmtId="168" fontId="39" fillId="2" borderId="22" xfId="0" applyFont="true" applyBorder="true" applyAlignment="true" applyProtection="false">
      <alignment horizontal="center" vertical="center" textRotation="0" wrapText="true" indent="0" shrinkToFit="false"/>
      <protection locked="true" hidden="false"/>
    </xf>
    <xf numFmtId="165" fontId="63" fillId="10" borderId="13" xfId="0" applyFont="true" applyBorder="true" applyAlignment="true" applyProtection="false">
      <alignment horizontal="center" vertical="center" textRotation="0" wrapText="true" indent="0" shrinkToFit="false"/>
      <protection locked="true" hidden="false"/>
    </xf>
    <xf numFmtId="178" fontId="39" fillId="2" borderId="13" xfId="0" applyFont="true" applyBorder="true" applyAlignment="true" applyProtection="false">
      <alignment horizontal="center" vertical="center" textRotation="0" wrapText="true" indent="0" shrinkToFit="false"/>
      <protection locked="true" hidden="false"/>
    </xf>
    <xf numFmtId="165" fontId="63" fillId="2" borderId="0" xfId="0" applyFont="true" applyBorder="true" applyAlignment="true" applyProtection="false">
      <alignment horizontal="center" vertical="center" textRotation="0" wrapText="true" indent="0" shrinkToFit="false"/>
      <protection locked="true" hidden="false"/>
    </xf>
    <xf numFmtId="178" fontId="39" fillId="2" borderId="0" xfId="0" applyFont="true" applyBorder="true" applyAlignment="true" applyProtection="false">
      <alignment horizontal="center" vertical="center" textRotation="0" wrapText="true" indent="0" shrinkToFit="false"/>
      <protection locked="true" hidden="false"/>
    </xf>
    <xf numFmtId="182" fontId="11" fillId="2" borderId="39" xfId="0" applyFont="true" applyBorder="true" applyAlignment="false" applyProtection="false">
      <alignment horizontal="general" vertical="bottom" textRotation="0" wrapText="false" indent="0" shrinkToFit="false"/>
      <protection locked="true" hidden="false"/>
    </xf>
    <xf numFmtId="165" fontId="43" fillId="22" borderId="39" xfId="0" applyFont="true" applyBorder="true" applyAlignment="true" applyProtection="false">
      <alignment horizontal="right" vertical="center" textRotation="0" wrapText="true" indent="0" shrinkToFit="false"/>
      <protection locked="true" hidden="false"/>
    </xf>
    <xf numFmtId="182" fontId="32" fillId="2" borderId="39" xfId="0" applyFont="true" applyBorder="true" applyAlignment="false" applyProtection="false">
      <alignment horizontal="general" vertical="bottom" textRotation="0" wrapText="false" indent="0" shrinkToFit="false"/>
      <protection locked="true" hidden="false"/>
    </xf>
    <xf numFmtId="165" fontId="37" fillId="0" borderId="0" xfId="27" applyFont="true" applyBorder="false" applyAlignment="false" applyProtection="false">
      <alignment horizontal="general" vertical="bottom" textRotation="0" wrapText="false" indent="0" shrinkToFit="false"/>
      <protection locked="true" hidden="false"/>
    </xf>
    <xf numFmtId="165" fontId="42" fillId="0" borderId="0" xfId="27" applyFont="true" applyBorder="false" applyAlignment="true" applyProtection="false">
      <alignment horizontal="general" vertical="bottom" textRotation="0" wrapText="false" indent="0" shrinkToFit="false"/>
      <protection locked="true" hidden="false"/>
    </xf>
    <xf numFmtId="165" fontId="37" fillId="0" borderId="0" xfId="27" applyFont="true" applyBorder="false" applyAlignment="true" applyProtection="false">
      <alignment horizontal="general" vertical="bottom" textRotation="0" wrapText="true" indent="0" shrinkToFit="false"/>
      <protection locked="true" hidden="false"/>
    </xf>
    <xf numFmtId="165" fontId="93" fillId="10" borderId="13" xfId="27" applyFont="true" applyBorder="true" applyAlignment="true" applyProtection="false">
      <alignment horizontal="center" vertical="center" textRotation="0" wrapText="true" indent="0" shrinkToFit="false"/>
      <protection locked="true" hidden="false"/>
    </xf>
    <xf numFmtId="165" fontId="93" fillId="10" borderId="13" xfId="0" applyFont="true" applyBorder="true" applyAlignment="true" applyProtection="false">
      <alignment horizontal="center" vertical="center" textRotation="0" wrapText="true" indent="0" shrinkToFit="false"/>
      <protection locked="true" hidden="false"/>
    </xf>
    <xf numFmtId="173" fontId="95" fillId="10" borderId="13" xfId="31" applyFont="true" applyBorder="true" applyAlignment="true" applyProtection="false">
      <alignment horizontal="left" vertical="center" textRotation="0" wrapText="true" indent="0" shrinkToFit="false"/>
      <protection locked="true" hidden="false"/>
    </xf>
    <xf numFmtId="178" fontId="37" fillId="2" borderId="13" xfId="27" applyFont="true" applyBorder="true" applyAlignment="true" applyProtection="false">
      <alignment horizontal="right" vertical="center" textRotation="0" wrapText="true" indent="0" shrinkToFit="false"/>
      <protection locked="true" hidden="false"/>
    </xf>
    <xf numFmtId="168" fontId="37" fillId="2" borderId="13" xfId="27" applyFont="true" applyBorder="true" applyAlignment="true" applyProtection="false">
      <alignment horizontal="right" vertical="center" textRotation="0" wrapText="false" indent="0" shrinkToFit="false"/>
      <protection locked="true" hidden="false"/>
    </xf>
    <xf numFmtId="171" fontId="37" fillId="11" borderId="13" xfId="27" applyFont="true" applyBorder="true" applyAlignment="false" applyProtection="false">
      <alignment horizontal="general" vertical="bottom" textRotation="0" wrapText="false" indent="0" shrinkToFit="false"/>
      <protection locked="true" hidden="false"/>
    </xf>
    <xf numFmtId="169" fontId="37" fillId="2" borderId="13" xfId="19" applyFont="true" applyBorder="true" applyAlignment="true" applyProtection="true">
      <alignment horizontal="right" vertical="center" textRotation="0" wrapText="false" indent="0" shrinkToFit="false"/>
      <protection locked="true" hidden="false"/>
    </xf>
    <xf numFmtId="169" fontId="37" fillId="2" borderId="15" xfId="19" applyFont="true" applyBorder="true" applyAlignment="true" applyProtection="true">
      <alignment horizontal="right" vertical="center" textRotation="0" wrapText="false" indent="0" shrinkToFit="false"/>
      <protection locked="true" hidden="false"/>
    </xf>
    <xf numFmtId="165" fontId="37" fillId="2" borderId="0" xfId="27" applyFont="true" applyBorder="true" applyAlignment="false" applyProtection="false">
      <alignment horizontal="general" vertical="bottom" textRotation="0" wrapText="false" indent="0" shrinkToFit="false"/>
      <protection locked="true" hidden="false"/>
    </xf>
    <xf numFmtId="169" fontId="37" fillId="2" borderId="0" xfId="19" applyFont="true" applyBorder="true" applyAlignment="true" applyProtection="true">
      <alignment horizontal="right" vertical="center" textRotation="0" wrapText="false" indent="0" shrinkToFit="false"/>
      <protection locked="true" hidden="false"/>
    </xf>
    <xf numFmtId="165" fontId="37" fillId="0" borderId="0" xfId="0" applyFont="true" applyBorder="false" applyAlignment="false" applyProtection="false">
      <alignment horizontal="general" vertical="bottom" textRotation="0" wrapText="false" indent="0" shrinkToFit="false"/>
      <protection locked="true" hidden="false"/>
    </xf>
    <xf numFmtId="165" fontId="37" fillId="0" borderId="0" xfId="0" applyFont="true" applyBorder="false" applyAlignment="true" applyProtection="false">
      <alignment horizontal="general" vertical="bottom" textRotation="0" wrapText="true" indent="0" shrinkToFit="false"/>
      <protection locked="true" hidden="false"/>
    </xf>
    <xf numFmtId="165" fontId="37" fillId="2" borderId="0" xfId="0" applyFont="true" applyBorder="true" applyAlignment="false" applyProtection="false">
      <alignment horizontal="general" vertical="bottom" textRotation="0" wrapText="false" indent="0" shrinkToFit="false"/>
      <protection locked="true" hidden="false"/>
    </xf>
    <xf numFmtId="165" fontId="95" fillId="10" borderId="13" xfId="31" applyFont="true" applyBorder="true" applyAlignment="true" applyProtection="false">
      <alignment horizontal="left" vertical="center" textRotation="0" wrapText="true" indent="0" shrinkToFit="false"/>
      <protection locked="true" hidden="false"/>
    </xf>
    <xf numFmtId="178" fontId="37" fillId="2" borderId="13" xfId="0" applyFont="true" applyBorder="true" applyAlignment="true" applyProtection="false">
      <alignment horizontal="right" vertical="center" textRotation="0" wrapText="false" indent="0" shrinkToFit="false"/>
      <protection locked="true" hidden="false"/>
    </xf>
    <xf numFmtId="178" fontId="37" fillId="0" borderId="13" xfId="0" applyFont="true" applyBorder="true" applyAlignment="true" applyProtection="false">
      <alignment horizontal="center" vertical="center" textRotation="0" wrapText="false" indent="0" shrinkToFit="false"/>
      <protection locked="true" hidden="false"/>
    </xf>
    <xf numFmtId="178" fontId="42" fillId="11" borderId="13" xfId="0" applyFont="true" applyBorder="true" applyAlignment="true" applyProtection="false">
      <alignment horizontal="right" vertical="center" textRotation="0" wrapText="false" indent="0" shrinkToFit="false"/>
      <protection locked="true" hidden="false"/>
    </xf>
    <xf numFmtId="165" fontId="37" fillId="0" borderId="13" xfId="0" applyFont="true" applyBorder="true" applyAlignment="false" applyProtection="false">
      <alignment horizontal="general" vertical="bottom" textRotation="0" wrapText="false" indent="0" shrinkToFit="false"/>
      <protection locked="true" hidden="false"/>
    </xf>
    <xf numFmtId="165" fontId="96" fillId="0" borderId="0" xfId="0" applyFont="true" applyBorder="false" applyAlignment="false" applyProtection="false">
      <alignment horizontal="general" vertical="bottom" textRotation="0" wrapText="false" indent="0" shrinkToFit="false"/>
      <protection locked="true" hidden="false"/>
    </xf>
    <xf numFmtId="165" fontId="97" fillId="8" borderId="25" xfId="0" applyFont="true" applyBorder="true" applyAlignment="true" applyProtection="false">
      <alignment horizontal="center" vertical="center" textRotation="0" wrapText="false" indent="0" shrinkToFit="false"/>
      <protection locked="true" hidden="false"/>
    </xf>
    <xf numFmtId="165" fontId="97" fillId="8" borderId="26" xfId="0" applyFont="true" applyBorder="true" applyAlignment="true" applyProtection="false">
      <alignment horizontal="center" vertical="center" textRotation="0" wrapText="false" indent="0" shrinkToFit="false"/>
      <protection locked="true" hidden="false"/>
    </xf>
    <xf numFmtId="165" fontId="97" fillId="8" borderId="31" xfId="0" applyFont="true" applyBorder="true" applyAlignment="true" applyProtection="false">
      <alignment horizontal="left" vertical="center" textRotation="0" wrapText="false" indent="0" shrinkToFit="false"/>
      <protection locked="true" hidden="false"/>
    </xf>
    <xf numFmtId="174" fontId="98" fillId="8" borderId="13" xfId="0" applyFont="true" applyBorder="true" applyAlignment="true" applyProtection="false">
      <alignment horizontal="center" vertical="bottom" textRotation="0" wrapText="false" indent="0" shrinkToFit="false"/>
      <protection locked="true" hidden="false"/>
    </xf>
    <xf numFmtId="165" fontId="99" fillId="24" borderId="48" xfId="0" applyFont="true" applyBorder="true" applyAlignment="true" applyProtection="false">
      <alignment horizontal="center" vertical="bottom" textRotation="0" wrapText="true" indent="0" shrinkToFit="false"/>
      <protection locked="true" hidden="false"/>
    </xf>
    <xf numFmtId="165" fontId="100" fillId="24" borderId="49" xfId="0" applyFont="true" applyBorder="true" applyAlignment="true" applyProtection="false">
      <alignment horizontal="center" vertical="bottom" textRotation="0" wrapText="true" indent="0" shrinkToFit="false"/>
      <protection locked="true" hidden="false"/>
    </xf>
    <xf numFmtId="165" fontId="100" fillId="24" borderId="50" xfId="0" applyFont="true" applyBorder="true" applyAlignment="true" applyProtection="false">
      <alignment horizontal="center" vertical="bottom" textRotation="0" wrapText="true" indent="0" shrinkToFit="false"/>
      <protection locked="true" hidden="false"/>
    </xf>
    <xf numFmtId="165" fontId="100" fillId="24" borderId="51" xfId="0" applyFont="true" applyBorder="true" applyAlignment="true" applyProtection="false">
      <alignment horizontal="center" vertical="bottom" textRotation="0" wrapText="true" indent="0" shrinkToFit="false"/>
      <protection locked="true" hidden="false"/>
    </xf>
    <xf numFmtId="165" fontId="100" fillId="24" borderId="52" xfId="0" applyFont="true" applyBorder="true" applyAlignment="true" applyProtection="false">
      <alignment horizontal="center" vertical="bottom" textRotation="0" wrapText="true" indent="0" shrinkToFit="false"/>
      <protection locked="true" hidden="false"/>
    </xf>
    <xf numFmtId="165" fontId="100" fillId="24" borderId="53" xfId="0" applyFont="true" applyBorder="true" applyAlignment="true" applyProtection="false">
      <alignment horizontal="center" vertical="bottom" textRotation="0" wrapText="true" indent="0" shrinkToFit="false"/>
      <protection locked="true" hidden="false"/>
    </xf>
    <xf numFmtId="165" fontId="100" fillId="24" borderId="54" xfId="0" applyFont="true" applyBorder="true" applyAlignment="true" applyProtection="false">
      <alignment horizontal="center" vertical="bottom" textRotation="0" wrapText="true" indent="0" shrinkToFit="false"/>
      <protection locked="true" hidden="false"/>
    </xf>
    <xf numFmtId="165" fontId="101" fillId="0" borderId="55" xfId="0" applyFont="true" applyBorder="true" applyAlignment="true" applyProtection="false">
      <alignment horizontal="left" vertical="bottom" textRotation="0" wrapText="true" indent="0" shrinkToFit="false"/>
      <protection locked="true" hidden="false"/>
    </xf>
    <xf numFmtId="168" fontId="102" fillId="2" borderId="56" xfId="0" applyFont="true" applyBorder="true" applyAlignment="true" applyProtection="false">
      <alignment horizontal="center" vertical="bottom" textRotation="0" wrapText="true" indent="0" shrinkToFit="false"/>
      <protection locked="true" hidden="false"/>
    </xf>
    <xf numFmtId="175" fontId="102" fillId="2" borderId="56" xfId="0" applyFont="true" applyBorder="true" applyAlignment="true" applyProtection="false">
      <alignment horizontal="center" vertical="bottom" textRotation="0" wrapText="true" indent="0" shrinkToFit="false"/>
      <protection locked="true" hidden="false"/>
    </xf>
    <xf numFmtId="165" fontId="102" fillId="2" borderId="56" xfId="0" applyFont="true" applyBorder="true" applyAlignment="true" applyProtection="false">
      <alignment horizontal="center" vertical="bottom" textRotation="0" wrapText="true" indent="0" shrinkToFit="false"/>
      <protection locked="true" hidden="false"/>
    </xf>
    <xf numFmtId="165" fontId="100" fillId="24" borderId="57" xfId="0" applyFont="true" applyBorder="true" applyAlignment="true" applyProtection="false">
      <alignment horizontal="left" vertical="bottom" textRotation="0" wrapText="true" indent="0" shrinkToFit="false"/>
      <protection locked="true" hidden="false"/>
    </xf>
    <xf numFmtId="165" fontId="7" fillId="24" borderId="56" xfId="0" applyFont="true" applyBorder="true" applyAlignment="true" applyProtection="false">
      <alignment horizontal="general" vertical="bottom" textRotation="0" wrapText="true" indent="0" shrinkToFit="false"/>
      <protection locked="true" hidden="false"/>
    </xf>
    <xf numFmtId="165" fontId="102" fillId="24" borderId="56" xfId="0" applyFont="true" applyBorder="true" applyAlignment="true" applyProtection="false">
      <alignment horizontal="center" vertical="bottom" textRotation="0" wrapText="true" indent="0" shrinkToFit="false"/>
      <protection locked="true" hidden="false"/>
    </xf>
    <xf numFmtId="165" fontId="103" fillId="24" borderId="56" xfId="0" applyFont="true" applyBorder="true" applyAlignment="true" applyProtection="false">
      <alignment horizontal="center" vertical="bottom" textRotation="0" wrapText="true" indent="0" shrinkToFit="false"/>
      <protection locked="true" hidden="false"/>
    </xf>
    <xf numFmtId="165" fontId="101" fillId="11" borderId="58" xfId="0" applyFont="true" applyBorder="true" applyAlignment="true" applyProtection="false">
      <alignment horizontal="left" vertical="bottom" textRotation="0" wrapText="true" indent="0" shrinkToFit="false"/>
      <protection locked="true" hidden="false"/>
    </xf>
    <xf numFmtId="174" fontId="101" fillId="11" borderId="59" xfId="0" applyFont="true" applyBorder="true" applyAlignment="true" applyProtection="false">
      <alignment horizontal="center" vertical="bottom" textRotation="0" wrapText="true" indent="0" shrinkToFit="false"/>
      <protection locked="true" hidden="false"/>
    </xf>
    <xf numFmtId="175" fontId="101" fillId="2" borderId="56" xfId="0" applyFont="true" applyBorder="true" applyAlignment="true" applyProtection="false">
      <alignment horizontal="center" vertical="bottom" textRotation="0" wrapText="true" indent="0" shrinkToFit="false"/>
      <protection locked="true" hidden="false"/>
    </xf>
    <xf numFmtId="179" fontId="101" fillId="2" borderId="59" xfId="0" applyFont="true" applyBorder="true" applyAlignment="true" applyProtection="false">
      <alignment horizontal="center" vertical="bottom" textRotation="0" wrapText="true" indent="0" shrinkToFit="false"/>
      <protection locked="true" hidden="false"/>
    </xf>
    <xf numFmtId="165" fontId="100" fillId="24" borderId="60" xfId="0" applyFont="true" applyBorder="true" applyAlignment="true" applyProtection="false">
      <alignment horizontal="left" vertical="bottom" textRotation="0" wrapText="true" indent="0" shrinkToFit="false"/>
      <protection locked="true" hidden="false"/>
    </xf>
    <xf numFmtId="179" fontId="102" fillId="24" borderId="56" xfId="0" applyFont="true" applyBorder="true" applyAlignment="true" applyProtection="false">
      <alignment horizontal="center" vertical="bottom" textRotation="0" wrapText="true" indent="0" shrinkToFit="false"/>
      <protection locked="true" hidden="false"/>
    </xf>
    <xf numFmtId="179" fontId="103" fillId="24" borderId="56" xfId="0" applyFont="true" applyBorder="true" applyAlignment="true" applyProtection="false">
      <alignment horizontal="center" vertical="bottom" textRotation="0" wrapText="true" indent="0" shrinkToFit="false"/>
      <protection locked="true" hidden="false"/>
    </xf>
    <xf numFmtId="165" fontId="100" fillId="24" borderId="61" xfId="0" applyFont="true" applyBorder="true" applyAlignment="true" applyProtection="false">
      <alignment horizontal="center" vertical="bottom" textRotation="90" wrapText="true" indent="0" shrinkToFit="false"/>
      <protection locked="true" hidden="false"/>
    </xf>
    <xf numFmtId="165" fontId="101" fillId="0" borderId="56" xfId="0" applyFont="true" applyBorder="true" applyAlignment="true" applyProtection="false">
      <alignment horizontal="left" vertical="bottom" textRotation="0" wrapText="true" indent="0" shrinkToFit="false"/>
      <protection locked="true" hidden="false"/>
    </xf>
    <xf numFmtId="174" fontId="102" fillId="0" borderId="56" xfId="0" applyFont="true" applyBorder="true" applyAlignment="true" applyProtection="false">
      <alignment horizontal="center" vertical="bottom" textRotation="0" wrapText="true" indent="0" shrinkToFit="false"/>
      <protection locked="true" hidden="false"/>
    </xf>
    <xf numFmtId="179" fontId="102" fillId="2" borderId="56" xfId="0" applyFont="true" applyBorder="true" applyAlignment="true" applyProtection="false">
      <alignment horizontal="center" vertical="bottom" textRotation="0" wrapText="true" indent="0" shrinkToFit="false"/>
      <protection locked="true" hidden="false"/>
    </xf>
    <xf numFmtId="165" fontId="101" fillId="0" borderId="62" xfId="0" applyFont="true" applyBorder="true" applyAlignment="true" applyProtection="false">
      <alignment horizontal="left" vertical="bottom" textRotation="0" wrapText="true" indent="0" shrinkToFit="false"/>
      <protection locked="true" hidden="false"/>
    </xf>
    <xf numFmtId="174" fontId="102" fillId="0" borderId="62" xfId="0" applyFont="true" applyBorder="true" applyAlignment="true" applyProtection="false">
      <alignment horizontal="center" vertical="bottom" textRotation="0" wrapText="true" indent="0" shrinkToFit="false"/>
      <protection locked="true" hidden="false"/>
    </xf>
    <xf numFmtId="175" fontId="102" fillId="2" borderId="62" xfId="0" applyFont="true" applyBorder="true" applyAlignment="true" applyProtection="false">
      <alignment horizontal="center" vertical="bottom" textRotation="0" wrapText="true" indent="0" shrinkToFit="false"/>
      <protection locked="true" hidden="false"/>
    </xf>
    <xf numFmtId="179" fontId="102" fillId="2" borderId="62" xfId="0" applyFont="true" applyBorder="true" applyAlignment="true" applyProtection="false">
      <alignment horizontal="center" vertical="bottom" textRotation="0" wrapText="true" indent="0" shrinkToFit="false"/>
      <protection locked="true" hidden="false"/>
    </xf>
    <xf numFmtId="165" fontId="100" fillId="24" borderId="63" xfId="0" applyFont="true" applyBorder="true" applyAlignment="true" applyProtection="false">
      <alignment horizontal="center" vertical="bottom" textRotation="90" wrapText="true" indent="0" shrinkToFit="false"/>
      <protection locked="true" hidden="false"/>
    </xf>
    <xf numFmtId="165" fontId="101" fillId="11" borderId="64" xfId="0" applyFont="true" applyBorder="true" applyAlignment="true" applyProtection="false">
      <alignment horizontal="left" vertical="bottom" textRotation="0" wrapText="true" indent="0" shrinkToFit="false"/>
      <protection locked="true" hidden="false"/>
    </xf>
    <xf numFmtId="174" fontId="101" fillId="11" borderId="56" xfId="0" applyFont="true" applyBorder="true" applyAlignment="true" applyProtection="false">
      <alignment horizontal="center" vertical="center" textRotation="0" wrapText="true" indent="0" shrinkToFit="false"/>
      <protection locked="true" hidden="false"/>
    </xf>
    <xf numFmtId="179" fontId="101" fillId="2" borderId="56" xfId="0" applyFont="true" applyBorder="true" applyAlignment="true" applyProtection="false">
      <alignment horizontal="center" vertical="bottom" textRotation="0" wrapText="tru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5" fontId="101" fillId="2" borderId="65" xfId="0" applyFont="true" applyBorder="true" applyAlignment="true" applyProtection="false">
      <alignment horizontal="left" vertical="bottom" textRotation="0" wrapText="true" indent="0" shrinkToFit="false"/>
      <protection locked="true" hidden="false"/>
    </xf>
    <xf numFmtId="165" fontId="101" fillId="0" borderId="56" xfId="0" applyFont="true" applyBorder="true" applyAlignment="true" applyProtection="false">
      <alignment horizontal="center" vertical="bottom" textRotation="0" wrapText="true" indent="0" shrinkToFit="false"/>
      <protection locked="true" hidden="false"/>
    </xf>
    <xf numFmtId="179" fontId="101" fillId="0" borderId="56" xfId="0" applyFont="true" applyBorder="true" applyAlignment="true" applyProtection="false">
      <alignment horizontal="center" vertical="bottom" textRotation="0" wrapText="true" indent="0" shrinkToFit="false"/>
      <protection locked="true" hidden="false"/>
    </xf>
    <xf numFmtId="165" fontId="100" fillId="24" borderId="56" xfId="0" applyFont="true" applyBorder="true" applyAlignment="true" applyProtection="false">
      <alignment horizontal="center" vertical="bottom" textRotation="0" wrapText="true" indent="0" shrinkToFit="false"/>
      <protection locked="true" hidden="false"/>
    </xf>
    <xf numFmtId="165" fontId="104" fillId="24" borderId="56" xfId="0" applyFont="true" applyBorder="true" applyAlignment="true" applyProtection="false">
      <alignment horizontal="center" vertical="bottom" textRotation="0" wrapText="true" indent="0" shrinkToFit="false"/>
      <protection locked="true" hidden="false"/>
    </xf>
    <xf numFmtId="165" fontId="101" fillId="0" borderId="66" xfId="0" applyFont="true" applyBorder="true" applyAlignment="true" applyProtection="false">
      <alignment horizontal="left" vertical="bottom" textRotation="0" wrapText="true" indent="0" shrinkToFit="false"/>
      <protection locked="true" hidden="false"/>
    </xf>
    <xf numFmtId="170" fontId="102" fillId="0" borderId="56" xfId="0" applyFont="true" applyBorder="true" applyAlignment="true" applyProtection="false">
      <alignment horizontal="center" vertical="bottom" textRotation="0" wrapText="true" indent="0" shrinkToFit="false"/>
      <protection locked="true" hidden="false"/>
    </xf>
    <xf numFmtId="170" fontId="102" fillId="2" borderId="56" xfId="0" applyFont="true" applyBorder="true" applyAlignment="true" applyProtection="false">
      <alignment horizontal="center" vertical="bottom" textRotation="0" wrapText="true" indent="0" shrinkToFit="false"/>
      <protection locked="true" hidden="false"/>
    </xf>
    <xf numFmtId="165" fontId="101" fillId="0" borderId="67" xfId="0" applyFont="true" applyBorder="true" applyAlignment="true" applyProtection="false">
      <alignment horizontal="left" vertical="bottom" textRotation="0" wrapText="true" indent="0" shrinkToFit="false"/>
      <protection locked="true" hidden="false"/>
    </xf>
    <xf numFmtId="170" fontId="102" fillId="2" borderId="62" xfId="0" applyFont="true" applyBorder="true" applyAlignment="true" applyProtection="false">
      <alignment horizontal="center" vertical="bottom" textRotation="0" wrapText="true" indent="0" shrinkToFit="false"/>
      <protection locked="true" hidden="false"/>
    </xf>
    <xf numFmtId="174" fontId="101" fillId="11" borderId="62" xfId="0" applyFont="true" applyBorder="true" applyAlignment="true" applyProtection="false">
      <alignment horizontal="center" vertical="bottom" textRotation="0" wrapText="true" indent="0" shrinkToFit="false"/>
      <protection locked="true" hidden="false"/>
    </xf>
    <xf numFmtId="175" fontId="101" fillId="2" borderId="62" xfId="0" applyFont="true" applyBorder="true" applyAlignment="true" applyProtection="false">
      <alignment horizontal="center" vertical="bottom" textRotation="0" wrapText="true" indent="0" shrinkToFit="false"/>
      <protection locked="true" hidden="false"/>
    </xf>
    <xf numFmtId="179" fontId="101" fillId="2" borderId="62" xfId="0" applyFont="true" applyBorder="true" applyAlignment="true" applyProtection="false">
      <alignment horizontal="center" vertical="bottom" textRotation="0" wrapText="true" indent="0" shrinkToFit="false"/>
      <protection locked="true" hidden="false"/>
    </xf>
    <xf numFmtId="165" fontId="101" fillId="0" borderId="68" xfId="0" applyFont="true" applyBorder="true" applyAlignment="true" applyProtection="false">
      <alignment horizontal="left" vertical="bottom" textRotation="0" wrapText="true" indent="0" shrinkToFit="false"/>
      <protection locked="true" hidden="false"/>
    </xf>
    <xf numFmtId="165" fontId="105" fillId="0" borderId="56" xfId="0" applyFont="true" applyBorder="true" applyAlignment="true" applyProtection="false">
      <alignment horizontal="center" vertical="bottom" textRotation="0" wrapText="true" indent="0" shrinkToFit="false"/>
      <protection locked="true" hidden="false"/>
    </xf>
    <xf numFmtId="165" fontId="106" fillId="0" borderId="0" xfId="20" applyFont="true" applyBorder="true" applyAlignment="true" applyProtection="true">
      <alignment horizontal="justify" vertical="bottom" textRotation="0" wrapText="false" indent="0" shrinkToFit="false"/>
      <protection locked="true" hidden="false"/>
    </xf>
    <xf numFmtId="165" fontId="0" fillId="0" borderId="13" xfId="0" applyFont="false" applyBorder="true" applyAlignment="false" applyProtection="false">
      <alignment horizontal="general" vertical="bottom" textRotation="0" wrapText="false" indent="0" shrinkToFit="false"/>
      <protection locked="true" hidden="false"/>
    </xf>
    <xf numFmtId="174" fontId="0" fillId="0" borderId="13" xfId="0" applyFont="false" applyBorder="tru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5" fontId="107" fillId="24" borderId="13" xfId="0" applyFont="true" applyBorder="true" applyAlignment="true" applyProtection="false">
      <alignment horizontal="left" vertical="bottom" textRotation="0" wrapText="true" indent="0" shrinkToFit="false"/>
      <protection locked="true" hidden="false"/>
    </xf>
    <xf numFmtId="165" fontId="107" fillId="24" borderId="13" xfId="0" applyFont="true" applyBorder="true" applyAlignment="true" applyProtection="false">
      <alignment horizontal="center" vertical="bottom" textRotation="0" wrapText="true" indent="0" shrinkToFit="false"/>
      <protection locked="true" hidden="false"/>
    </xf>
    <xf numFmtId="165" fontId="104" fillId="24" borderId="13" xfId="0" applyFont="true" applyBorder="true" applyAlignment="true" applyProtection="false">
      <alignment horizontal="left" vertical="bottom" textRotation="0" wrapText="true" indent="0" shrinkToFit="false"/>
      <protection locked="true" hidden="false"/>
    </xf>
    <xf numFmtId="165" fontId="102" fillId="0" borderId="13" xfId="0" applyFont="true" applyBorder="true" applyAlignment="true" applyProtection="false">
      <alignment horizontal="left" vertical="bottom" textRotation="0" wrapText="true" indent="0" shrinkToFit="false"/>
      <protection locked="true" hidden="false"/>
    </xf>
    <xf numFmtId="174" fontId="102" fillId="15" borderId="13" xfId="0" applyFont="true" applyBorder="true" applyAlignment="true" applyProtection="false">
      <alignment horizontal="center" vertical="bottom" textRotation="0" wrapText="true" indent="0" shrinkToFit="false"/>
      <protection locked="true" hidden="false"/>
    </xf>
    <xf numFmtId="175" fontId="102" fillId="13" borderId="33" xfId="19" applyFont="true" applyBorder="true" applyAlignment="true" applyProtection="true">
      <alignment horizontal="center" vertical="bottom" textRotation="0" wrapText="true" indent="0" shrinkToFit="false"/>
      <protection locked="true" hidden="false"/>
    </xf>
    <xf numFmtId="171" fontId="102" fillId="13" borderId="22" xfId="0" applyFont="true" applyBorder="true" applyAlignment="true" applyProtection="false">
      <alignment horizontal="center" vertical="bottom" textRotation="0" wrapText="true" indent="0" shrinkToFit="false"/>
      <protection locked="true" hidden="false"/>
    </xf>
    <xf numFmtId="175" fontId="102" fillId="13" borderId="22" xfId="19" applyFont="true" applyBorder="true" applyAlignment="true" applyProtection="true">
      <alignment horizontal="center" vertical="bottom" textRotation="0" wrapText="true" indent="0" shrinkToFit="false"/>
      <protection locked="true" hidden="false"/>
    </xf>
    <xf numFmtId="175" fontId="102" fillId="13" borderId="34" xfId="19" applyFont="true" applyBorder="true" applyAlignment="true" applyProtection="true">
      <alignment horizontal="center" vertical="bottom" textRotation="0" wrapText="true" indent="0" shrinkToFit="false"/>
      <protection locked="true" hidden="false"/>
    </xf>
    <xf numFmtId="171" fontId="102" fillId="13" borderId="13" xfId="0" applyFont="true" applyBorder="true" applyAlignment="true" applyProtection="false">
      <alignment horizontal="center" vertical="bottom" textRotation="0" wrapText="true" indent="0" shrinkToFit="false"/>
      <protection locked="true" hidden="false"/>
    </xf>
    <xf numFmtId="175" fontId="102" fillId="13" borderId="13" xfId="19" applyFont="true" applyBorder="true" applyAlignment="true" applyProtection="true">
      <alignment horizontal="center" vertical="bottom" textRotation="0" wrapText="true" indent="0" shrinkToFit="false"/>
      <protection locked="true" hidden="false"/>
    </xf>
    <xf numFmtId="174" fontId="108" fillId="13" borderId="13" xfId="0" applyFont="true" applyBorder="true" applyAlignment="true" applyProtection="false">
      <alignment horizontal="center" vertical="bottom" textRotation="0" wrapText="true" indent="0" shrinkToFit="false"/>
      <protection locked="true" hidden="false"/>
    </xf>
    <xf numFmtId="171" fontId="108" fillId="13" borderId="13" xfId="0" applyFont="true" applyBorder="true" applyAlignment="true" applyProtection="false">
      <alignment horizontal="center" vertical="bottom" textRotation="0" wrapText="true" indent="0" shrinkToFit="false"/>
      <protection locked="true" hidden="false"/>
    </xf>
    <xf numFmtId="174" fontId="4" fillId="2" borderId="13" xfId="0" applyFont="true" applyBorder="true" applyAlignment="true" applyProtection="false">
      <alignment horizontal="center" vertical="bottom" textRotation="0" wrapText="true" indent="0" shrinkToFit="false"/>
      <protection locked="true" hidden="false"/>
    </xf>
    <xf numFmtId="165" fontId="102" fillId="0" borderId="0" xfId="0" applyFont="true" applyBorder="true" applyAlignment="true" applyProtection="false">
      <alignment horizontal="center" vertical="bottom" textRotation="0" wrapText="true" indent="0" shrinkToFit="false"/>
      <protection locked="true" hidden="false"/>
    </xf>
    <xf numFmtId="174" fontId="102" fillId="13" borderId="13" xfId="0" applyFont="true" applyBorder="true" applyAlignment="true" applyProtection="false">
      <alignment horizontal="center" vertical="bottom" textRotation="0" wrapText="true" indent="0" shrinkToFit="false"/>
      <protection locked="true" hidden="false"/>
    </xf>
    <xf numFmtId="165" fontId="102" fillId="0" borderId="0" xfId="0" applyFont="true" applyBorder="false" applyAlignment="true" applyProtection="false">
      <alignment horizontal="center" vertical="bottom" textRotation="0" wrapText="true" indent="0" shrinkToFit="false"/>
      <protection locked="true" hidden="false"/>
    </xf>
    <xf numFmtId="165" fontId="109" fillId="0" borderId="0" xfId="0" applyFont="true" applyBorder="false" applyAlignment="false" applyProtection="false">
      <alignment horizontal="general" vertical="bottom" textRotation="0" wrapText="false" indent="0" shrinkToFit="false"/>
      <protection locked="true" hidden="false"/>
    </xf>
    <xf numFmtId="171" fontId="33" fillId="8" borderId="11" xfId="0" applyFont="true" applyBorder="true" applyAlignment="true" applyProtection="false">
      <alignment horizontal="center" vertical="center" textRotation="0" wrapText="true" indent="0" shrinkToFit="false"/>
      <protection locked="true" hidden="false"/>
    </xf>
    <xf numFmtId="171" fontId="33" fillId="8" borderId="11" xfId="0" applyFont="true" applyBorder="true" applyAlignment="true" applyProtection="false">
      <alignment horizontal="left" vertical="center" textRotation="0" wrapText="true" indent="0" shrinkToFit="false"/>
      <protection locked="true" hidden="false"/>
    </xf>
    <xf numFmtId="174" fontId="33" fillId="2" borderId="11" xfId="0" applyFont="true" applyBorder="true" applyAlignment="true" applyProtection="false">
      <alignment horizontal="center" vertical="center" textRotation="0" wrapText="true" indent="0" shrinkToFit="false"/>
      <protection locked="true" hidden="false"/>
    </xf>
    <xf numFmtId="174" fontId="33" fillId="8" borderId="11" xfId="0" applyFont="true" applyBorder="true" applyAlignment="true" applyProtection="false">
      <alignment horizontal="center" vertical="center" textRotation="0" wrapText="true" indent="0" shrinkToFit="false"/>
      <protection locked="true" hidden="false"/>
    </xf>
    <xf numFmtId="174" fontId="33" fillId="20" borderId="11" xfId="0" applyFont="true" applyBorder="true" applyAlignment="true" applyProtection="false">
      <alignment horizontal="center" vertical="center" textRotation="0" wrapText="true" indent="0" shrinkToFit="false"/>
      <protection locked="true" hidden="false"/>
    </xf>
    <xf numFmtId="164" fontId="33" fillId="8" borderId="11" xfId="19" applyFont="true" applyBorder="true" applyAlignment="true" applyProtection="true">
      <alignment horizontal="center" vertical="center" textRotation="0" wrapText="tru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1" fontId="33" fillId="8" borderId="29" xfId="0" applyFont="true" applyBorder="true" applyAlignment="true" applyProtection="false">
      <alignment horizontal="center" vertical="center" textRotation="0" wrapText="true" indent="0" shrinkToFit="false"/>
      <protection locked="true" hidden="false"/>
    </xf>
    <xf numFmtId="171" fontId="33" fillId="8" borderId="12" xfId="0" applyFont="true" applyBorder="true" applyAlignment="true" applyProtection="false">
      <alignment horizontal="center" vertical="center" textRotation="0" wrapText="true" indent="0" shrinkToFit="false"/>
      <protection locked="true" hidden="false"/>
    </xf>
    <xf numFmtId="165" fontId="110" fillId="8" borderId="31" xfId="0" applyFont="true" applyBorder="true" applyAlignment="false" applyProtection="false">
      <alignment horizontal="general" vertical="bottom" textRotation="0" wrapText="false" indent="0" shrinkToFit="false"/>
      <protection locked="true" hidden="false"/>
    </xf>
    <xf numFmtId="164" fontId="110" fillId="8" borderId="13" xfId="19" applyFont="true" applyBorder="true" applyAlignment="true" applyProtection="true">
      <alignment horizontal="center" vertical="bottom" textRotation="0" wrapText="false" indent="0" shrinkToFit="false"/>
      <protection locked="true" hidden="false"/>
    </xf>
    <xf numFmtId="174" fontId="110" fillId="8" borderId="13" xfId="0" applyFont="true" applyBorder="true" applyAlignment="true" applyProtection="false">
      <alignment horizontal="center" vertical="bottom" textRotation="0" wrapText="false" indent="0" shrinkToFit="false"/>
      <protection locked="true" hidden="false"/>
    </xf>
    <xf numFmtId="174" fontId="110" fillId="8" borderId="14" xfId="0" applyFont="true" applyBorder="true" applyAlignment="true" applyProtection="false">
      <alignment horizontal="center" vertical="bottom" textRotation="0" wrapText="true" indent="0" shrinkToFit="false"/>
      <protection locked="true" hidden="false"/>
    </xf>
    <xf numFmtId="165" fontId="110" fillId="8" borderId="45" xfId="0" applyFont="true" applyBorder="true" applyAlignment="false" applyProtection="false">
      <alignment horizontal="general" vertical="bottom" textRotation="0" wrapText="false" indent="0" shrinkToFit="false"/>
      <protection locked="true" hidden="false"/>
    </xf>
    <xf numFmtId="164" fontId="110" fillId="8" borderId="17" xfId="19" applyFont="true" applyBorder="true" applyAlignment="true" applyProtection="true">
      <alignment horizontal="center" vertical="bottom" textRotation="0" wrapText="false" indent="0" shrinkToFit="false"/>
      <protection locked="true" hidden="false"/>
    </xf>
    <xf numFmtId="174" fontId="110" fillId="8" borderId="17" xfId="0" applyFont="true" applyBorder="true" applyAlignment="true" applyProtection="false">
      <alignment horizontal="center" vertical="bottom" textRotation="0" wrapText="false" indent="0" shrinkToFit="false"/>
      <protection locked="true" hidden="false"/>
    </xf>
    <xf numFmtId="171" fontId="33" fillId="8" borderId="6" xfId="0" applyFont="true" applyBorder="true" applyAlignment="true" applyProtection="false">
      <alignment horizontal="center" vertical="center" textRotation="0" wrapText="true" indent="0" shrinkToFit="false"/>
      <protection locked="true" hidden="false"/>
    </xf>
    <xf numFmtId="171" fontId="110" fillId="8" borderId="29" xfId="0" applyFont="true" applyBorder="true" applyAlignment="true" applyProtection="false">
      <alignment horizontal="general" vertical="bottom" textRotation="0" wrapText="true" indent="0" shrinkToFit="false"/>
      <protection locked="true" hidden="false"/>
    </xf>
    <xf numFmtId="174" fontId="110" fillId="8" borderId="11" xfId="0" applyFont="true" applyBorder="true" applyAlignment="true" applyProtection="false">
      <alignment horizontal="center" vertical="bottom" textRotation="0" wrapText="true" indent="0" shrinkToFit="false"/>
      <protection locked="true" hidden="false"/>
    </xf>
    <xf numFmtId="174" fontId="110" fillId="20" borderId="11" xfId="0" applyFont="true" applyBorder="true" applyAlignment="true" applyProtection="false">
      <alignment horizontal="center" vertical="bottom" textRotation="0" wrapText="true" indent="0" shrinkToFit="false"/>
      <protection locked="true" hidden="false"/>
    </xf>
    <xf numFmtId="174" fontId="110" fillId="20" borderId="13" xfId="0" applyFont="true" applyBorder="true" applyAlignment="true" applyProtection="false">
      <alignment horizontal="center" vertical="bottom" textRotation="0" wrapText="false" indent="0" shrinkToFit="false"/>
      <protection locked="true" hidden="false"/>
    </xf>
    <xf numFmtId="171" fontId="110" fillId="8" borderId="69" xfId="0" applyFont="true" applyBorder="true" applyAlignment="true" applyProtection="false">
      <alignment horizontal="general" vertical="bottom" textRotation="0" wrapText="true" indent="0" shrinkToFit="false"/>
      <protection locked="true" hidden="false"/>
    </xf>
    <xf numFmtId="174" fontId="110" fillId="8" borderId="15" xfId="0" applyFont="true" applyBorder="true" applyAlignment="true" applyProtection="false">
      <alignment horizontal="center" vertical="bottom" textRotation="0" wrapText="true" indent="0" shrinkToFit="false"/>
      <protection locked="true" hidden="false"/>
    </xf>
    <xf numFmtId="174" fontId="110" fillId="20" borderId="15" xfId="0" applyFont="true" applyBorder="true" applyAlignment="true" applyProtection="false">
      <alignment horizontal="center" vertical="bottom" textRotation="0" wrapText="true" indent="0" shrinkToFit="false"/>
      <protection locked="true" hidden="false"/>
    </xf>
    <xf numFmtId="174" fontId="110" fillId="8" borderId="25" xfId="0" applyFont="true" applyBorder="true" applyAlignment="true" applyProtection="false">
      <alignment horizontal="center" vertical="bottom" textRotation="0" wrapText="true" indent="0" shrinkToFit="false"/>
      <protection locked="true" hidden="false"/>
    </xf>
    <xf numFmtId="165" fontId="110" fillId="13" borderId="10" xfId="0" applyFont="true" applyBorder="true" applyAlignment="false" applyProtection="false">
      <alignment horizontal="general" vertical="bottom" textRotation="0" wrapText="false" indent="0" shrinkToFit="false"/>
      <protection locked="true" hidden="false"/>
    </xf>
    <xf numFmtId="165" fontId="0" fillId="13" borderId="70" xfId="0" applyFont="false" applyBorder="true" applyAlignment="false" applyProtection="false">
      <alignment horizontal="general" vertical="bottom" textRotation="0" wrapText="false" indent="0" shrinkToFit="false"/>
      <protection locked="true" hidden="false"/>
    </xf>
    <xf numFmtId="165" fontId="0" fillId="13" borderId="71" xfId="0" applyFont="false" applyBorder="true" applyAlignment="false" applyProtection="false">
      <alignment horizontal="general" vertical="bottom" textRotation="0" wrapText="false" indent="0" shrinkToFit="false"/>
      <protection locked="true" hidden="false"/>
    </xf>
    <xf numFmtId="174" fontId="28" fillId="13" borderId="6" xfId="0" applyFont="true" applyBorder="true" applyAlignment="false" applyProtection="false">
      <alignment horizontal="general" vertical="bottom" textRotation="0" wrapText="false" indent="0" shrinkToFit="false"/>
      <protection locked="true" hidden="false"/>
    </xf>
    <xf numFmtId="165" fontId="0" fillId="0" borderId="29" xfId="0" applyFont="false" applyBorder="true" applyAlignment="false" applyProtection="false">
      <alignment horizontal="general" vertical="bottom" textRotation="0" wrapText="false" indent="0" shrinkToFit="false"/>
      <protection locked="true" hidden="false"/>
    </xf>
    <xf numFmtId="165" fontId="0" fillId="0" borderId="11" xfId="0" applyFont="false" applyBorder="true" applyAlignment="false" applyProtection="false">
      <alignment horizontal="general" vertical="bottom" textRotation="0" wrapText="false" indent="0" shrinkToFit="false"/>
      <protection locked="true" hidden="false"/>
    </xf>
    <xf numFmtId="179" fontId="0" fillId="0" borderId="11" xfId="0" applyFont="false" applyBorder="true" applyAlignment="false" applyProtection="false">
      <alignment horizontal="general" vertical="bottom" textRotation="0" wrapText="false" indent="0" shrinkToFit="false"/>
      <protection locked="true" hidden="false"/>
    </xf>
    <xf numFmtId="179" fontId="0" fillId="0" borderId="12" xfId="0" applyFont="false" applyBorder="true" applyAlignment="false" applyProtection="false">
      <alignment horizontal="general" vertical="bottom" textRotation="0" wrapText="false" indent="0" shrinkToFit="false"/>
      <protection locked="true" hidden="false"/>
    </xf>
    <xf numFmtId="165" fontId="0" fillId="0" borderId="31" xfId="0" applyFont="false" applyBorder="true" applyAlignment="false" applyProtection="false">
      <alignment horizontal="general" vertical="bottom" textRotation="0" wrapText="false" indent="0" shrinkToFit="false"/>
      <protection locked="true" hidden="false"/>
    </xf>
    <xf numFmtId="179" fontId="0" fillId="0" borderId="13" xfId="0" applyFont="false" applyBorder="true" applyAlignment="false" applyProtection="false">
      <alignment horizontal="general" vertical="bottom" textRotation="0" wrapText="false" indent="0" shrinkToFit="false"/>
      <protection locked="true" hidden="false"/>
    </xf>
    <xf numFmtId="179" fontId="0" fillId="0" borderId="14" xfId="0" applyFont="false" applyBorder="true" applyAlignment="false" applyProtection="false">
      <alignment horizontal="general" vertical="bottom" textRotation="0" wrapText="false" indent="0" shrinkToFit="false"/>
      <protection locked="true" hidden="false"/>
    </xf>
    <xf numFmtId="165" fontId="0" fillId="0" borderId="45" xfId="0" applyFont="false" applyBorder="true" applyAlignment="false" applyProtection="false">
      <alignment horizontal="general" vertical="bottom" textRotation="0" wrapText="false" indent="0" shrinkToFit="false"/>
      <protection locked="true" hidden="false"/>
    </xf>
    <xf numFmtId="165" fontId="0" fillId="0" borderId="17" xfId="0" applyFont="false" applyBorder="true" applyAlignment="false" applyProtection="false">
      <alignment horizontal="general" vertical="bottom" textRotation="0" wrapText="false" indent="0" shrinkToFit="false"/>
      <protection locked="true" hidden="false"/>
    </xf>
    <xf numFmtId="179" fontId="0" fillId="0" borderId="17" xfId="0" applyFont="false" applyBorder="true" applyAlignment="false" applyProtection="false">
      <alignment horizontal="general" vertical="bottom" textRotation="0" wrapText="false" indent="0" shrinkToFit="false"/>
      <protection locked="true" hidden="false"/>
    </xf>
    <xf numFmtId="179" fontId="0" fillId="0" borderId="18" xfId="0" applyFont="false" applyBorder="true" applyAlignment="false" applyProtection="false">
      <alignment horizontal="general" vertical="bottom" textRotation="0" wrapText="false" indent="0" shrinkToFit="false"/>
      <protection locked="true" hidden="false"/>
    </xf>
    <xf numFmtId="179" fontId="0" fillId="13" borderId="6" xfId="0" applyFont="false" applyBorder="true" applyAlignment="false" applyProtection="false">
      <alignment horizontal="general" vertical="bottom" textRotation="0" wrapText="false" indent="0" shrinkToFit="false"/>
      <protection locked="true" hidden="false"/>
    </xf>
    <xf numFmtId="165" fontId="7" fillId="0" borderId="0" xfId="25" applyFont="false" applyBorder="false" applyAlignment="false" applyProtection="false">
      <alignment horizontal="general" vertical="bottom" textRotation="0" wrapText="false" indent="0" shrinkToFit="false"/>
      <protection locked="true" hidden="false"/>
    </xf>
    <xf numFmtId="165" fontId="111" fillId="0" borderId="0" xfId="25" applyFont="true" applyBorder="true" applyAlignment="true" applyProtection="false">
      <alignment horizontal="center" vertical="bottom" textRotation="0" wrapText="false" indent="0" shrinkToFit="false"/>
      <protection locked="true" hidden="false"/>
    </xf>
    <xf numFmtId="165" fontId="112" fillId="25" borderId="17" xfId="25" applyFont="true" applyBorder="true" applyAlignment="true" applyProtection="false">
      <alignment horizontal="center" vertical="bottom" textRotation="0" wrapText="false" indent="0" shrinkToFit="false"/>
      <protection locked="true" hidden="false"/>
    </xf>
    <xf numFmtId="165" fontId="112" fillId="25" borderId="15" xfId="25" applyFont="true" applyBorder="true" applyAlignment="true" applyProtection="false">
      <alignment horizontal="center" vertical="bottom" textRotation="0" wrapText="false" indent="0" shrinkToFit="false"/>
      <protection locked="true" hidden="false"/>
    </xf>
    <xf numFmtId="171" fontId="112" fillId="25" borderId="15" xfId="25" applyFont="true" applyBorder="true" applyAlignment="true" applyProtection="false">
      <alignment horizontal="center" vertical="bottom" textRotation="0" wrapText="true" indent="0" shrinkToFit="false"/>
      <protection locked="true" hidden="false"/>
    </xf>
    <xf numFmtId="165" fontId="113" fillId="25" borderId="25" xfId="25" applyFont="true" applyBorder="true" applyAlignment="true" applyProtection="false">
      <alignment horizontal="center" vertical="center" textRotation="0" wrapText="false" indent="0" shrinkToFit="false"/>
      <protection locked="true" hidden="false"/>
    </xf>
    <xf numFmtId="174" fontId="114" fillId="0" borderId="72" xfId="25" applyFont="true" applyBorder="true" applyAlignment="true" applyProtection="false">
      <alignment horizontal="center" vertical="center" textRotation="0" wrapText="false" indent="0" shrinkToFit="false"/>
      <protection locked="true" hidden="false"/>
    </xf>
    <xf numFmtId="168" fontId="114" fillId="0" borderId="73" xfId="24" applyFont="true" applyBorder="true" applyAlignment="true" applyProtection="true">
      <alignment horizontal="center" vertical="center" textRotation="0" wrapText="false" indent="0" shrinkToFit="false"/>
      <protection locked="true" hidden="false"/>
    </xf>
    <xf numFmtId="165" fontId="7" fillId="0" borderId="13" xfId="25" applyFont="false" applyBorder="true" applyAlignment="false" applyProtection="false">
      <alignment horizontal="general" vertical="bottom" textRotation="0" wrapText="false" indent="0" shrinkToFit="false"/>
      <protection locked="true" hidden="false"/>
    </xf>
    <xf numFmtId="168" fontId="7" fillId="0" borderId="13" xfId="25" applyFont="false" applyBorder="true" applyAlignment="true" applyProtection="false">
      <alignment horizontal="general" vertical="bottom" textRotation="0" wrapText="true" indent="0" shrinkToFit="false"/>
      <protection locked="true" hidden="false"/>
    </xf>
    <xf numFmtId="172" fontId="113" fillId="25" borderId="74" xfId="25" applyFont="true" applyBorder="true" applyAlignment="true" applyProtection="false">
      <alignment horizontal="center" vertical="center" textRotation="0" wrapText="false" indent="0" shrinkToFit="false"/>
      <protection locked="true" hidden="false"/>
    </xf>
    <xf numFmtId="174" fontId="114" fillId="0" borderId="75" xfId="25" applyFont="true" applyBorder="true" applyAlignment="true" applyProtection="false">
      <alignment horizontal="center" vertical="center" textRotation="0" wrapText="false" indent="0" shrinkToFit="false"/>
      <protection locked="true" hidden="false"/>
    </xf>
    <xf numFmtId="168" fontId="114" fillId="0" borderId="76" xfId="24" applyFont="true" applyBorder="true" applyAlignment="true" applyProtection="true">
      <alignment horizontal="center" vertical="center" textRotation="0" wrapText="false" indent="0" shrinkToFit="false"/>
      <protection locked="true" hidden="false"/>
    </xf>
    <xf numFmtId="174" fontId="114" fillId="0" borderId="77" xfId="25" applyFont="true" applyBorder="true" applyAlignment="true" applyProtection="false">
      <alignment horizontal="center" vertical="center" textRotation="0" wrapText="false" indent="0" shrinkToFit="false"/>
      <protection locked="true" hidden="false"/>
    </xf>
    <xf numFmtId="174" fontId="114" fillId="0" borderId="78" xfId="25" applyFont="true" applyBorder="true" applyAlignment="true" applyProtection="false">
      <alignment horizontal="center" vertical="center" textRotation="0" wrapText="false" indent="0" shrinkToFit="false"/>
      <protection locked="true" hidden="false"/>
    </xf>
    <xf numFmtId="172" fontId="113" fillId="25" borderId="27" xfId="25" applyFont="true" applyBorder="true" applyAlignment="true" applyProtection="false">
      <alignment horizontal="center" vertical="center" textRotation="0" wrapText="false" indent="0" shrinkToFit="false"/>
      <protection locked="true" hidden="false"/>
    </xf>
    <xf numFmtId="168" fontId="114" fillId="0" borderId="79" xfId="24" applyFont="true" applyBorder="true" applyAlignment="true" applyProtection="true">
      <alignment horizontal="center" vertical="center" textRotation="0" wrapText="false" indent="0" shrinkToFit="false"/>
      <protection locked="true" hidden="false"/>
    </xf>
    <xf numFmtId="165" fontId="113" fillId="25" borderId="80" xfId="25" applyFont="true" applyBorder="true" applyAlignment="true" applyProtection="false">
      <alignment horizontal="center" vertical="center" textRotation="0" wrapText="false" indent="0" shrinkToFit="false"/>
      <protection locked="true" hidden="false"/>
    </xf>
    <xf numFmtId="174" fontId="114" fillId="0" borderId="81" xfId="25" applyFont="true" applyBorder="true" applyAlignment="true" applyProtection="false">
      <alignment horizontal="center" vertical="center" textRotation="0" wrapText="false" indent="0" shrinkToFit="false"/>
      <protection locked="true" hidden="false"/>
    </xf>
    <xf numFmtId="168" fontId="114" fillId="0" borderId="82" xfId="24" applyFont="true" applyBorder="true" applyAlignment="true" applyProtection="true">
      <alignment horizontal="center" vertical="center" textRotation="0" wrapText="false" indent="0" shrinkToFit="false"/>
      <protection locked="true" hidden="false"/>
    </xf>
    <xf numFmtId="174" fontId="115" fillId="0" borderId="75" xfId="25" applyFont="true" applyBorder="true" applyAlignment="true" applyProtection="false">
      <alignment horizontal="center" vertical="center" textRotation="0" wrapText="false" indent="0" shrinkToFit="false"/>
      <protection locked="true" hidden="false"/>
    </xf>
    <xf numFmtId="168" fontId="115" fillId="0" borderId="76" xfId="24" applyFont="true" applyBorder="true" applyAlignment="true" applyProtection="true">
      <alignment horizontal="center" vertical="center" textRotation="0" wrapText="false" indent="0" shrinkToFit="false"/>
      <protection locked="true" hidden="false"/>
    </xf>
    <xf numFmtId="172" fontId="113" fillId="25" borderId="83" xfId="25" applyFont="true" applyBorder="true" applyAlignment="true" applyProtection="false">
      <alignment horizontal="center" vertical="center" textRotation="0" wrapText="false" indent="0" shrinkToFit="false"/>
      <protection locked="true" hidden="false"/>
    </xf>
    <xf numFmtId="165" fontId="113" fillId="25" borderId="84" xfId="25" applyFont="true" applyBorder="true" applyAlignment="true" applyProtection="false">
      <alignment horizontal="center" vertical="center" textRotation="0" wrapText="false" indent="0" shrinkToFit="false"/>
      <protection locked="true" hidden="false"/>
    </xf>
    <xf numFmtId="174" fontId="114" fillId="0" borderId="85" xfId="25" applyFont="true" applyBorder="true" applyAlignment="true" applyProtection="false">
      <alignment horizontal="center" vertical="center" textRotation="0" wrapText="false" indent="0" shrinkToFit="false"/>
      <protection locked="true" hidden="false"/>
    </xf>
    <xf numFmtId="172" fontId="113" fillId="25" borderId="86" xfId="25" applyFont="true" applyBorder="true" applyAlignment="true" applyProtection="false">
      <alignment horizontal="center" vertical="center" textRotation="0" wrapText="false" indent="0" shrinkToFit="false"/>
      <protection locked="true" hidden="false"/>
    </xf>
    <xf numFmtId="172" fontId="113" fillId="25" borderId="87" xfId="25" applyFont="true" applyBorder="true" applyAlignment="true" applyProtection="false">
      <alignment horizontal="center" vertical="center" textRotation="0" wrapText="false" indent="0" shrinkToFit="false"/>
      <protection locked="true" hidden="false"/>
    </xf>
    <xf numFmtId="174" fontId="114" fillId="0" borderId="88" xfId="25" applyFont="true" applyBorder="true" applyAlignment="true" applyProtection="false">
      <alignment horizontal="center" vertical="center" textRotation="0" wrapText="false" indent="0" shrinkToFit="false"/>
      <protection locked="true" hidden="false"/>
    </xf>
    <xf numFmtId="168" fontId="114" fillId="0" borderId="89" xfId="24" applyFont="true" applyBorder="true" applyAlignment="true" applyProtection="true">
      <alignment horizontal="center" vertical="center" textRotation="0" wrapText="false" indent="0" shrinkToFit="false"/>
      <protection locked="true" hidden="false"/>
    </xf>
    <xf numFmtId="174" fontId="114" fillId="0" borderId="90" xfId="25" applyFont="true" applyBorder="true" applyAlignment="true" applyProtection="false">
      <alignment horizontal="center" vertical="center" textRotation="0" wrapText="false" indent="0" shrinkToFit="false"/>
      <protection locked="true" hidden="false"/>
    </xf>
    <xf numFmtId="168" fontId="114" fillId="0" borderId="91" xfId="24" applyFont="true" applyBorder="true" applyAlignment="true" applyProtection="true">
      <alignment horizontal="center" vertical="center" textRotation="0" wrapText="false" indent="0" shrinkToFit="false"/>
      <protection locked="true" hidden="false"/>
    </xf>
    <xf numFmtId="174" fontId="114" fillId="0" borderId="92" xfId="25" applyFont="true" applyBorder="true" applyAlignment="true" applyProtection="false">
      <alignment horizontal="center" vertical="center" textRotation="0" wrapText="false" indent="0" shrinkToFit="false"/>
      <protection locked="true" hidden="false"/>
    </xf>
    <xf numFmtId="165" fontId="37" fillId="0" borderId="0" xfId="0" applyFont="true" applyBorder="true" applyAlignment="true" applyProtection="false">
      <alignment horizontal="general" vertical="bottom" textRotation="0" wrapText="false" indent="0" shrinkToFit="false"/>
      <protection locked="true" hidden="false"/>
    </xf>
    <xf numFmtId="165" fontId="117" fillId="26" borderId="0" xfId="0" applyFont="true" applyBorder="true" applyAlignment="true" applyProtection="false">
      <alignment horizontal="center" vertical="center" textRotation="0" wrapText="true" indent="0" shrinkToFit="false"/>
      <protection locked="true" hidden="false"/>
    </xf>
    <xf numFmtId="165" fontId="118" fillId="0" borderId="0" xfId="0" applyFont="true" applyBorder="true" applyAlignment="true" applyProtection="false">
      <alignment horizontal="center" vertical="center" textRotation="0" wrapText="true" indent="0" shrinkToFit="false"/>
      <protection locked="true" hidden="false"/>
    </xf>
    <xf numFmtId="165" fontId="118" fillId="0" borderId="0" xfId="0" applyFont="true" applyBorder="false" applyAlignment="true" applyProtection="false">
      <alignment horizontal="general" vertical="center" textRotation="0" wrapText="true" indent="0" shrinkToFit="false"/>
      <protection locked="true" hidden="false"/>
    </xf>
    <xf numFmtId="165" fontId="119" fillId="0" borderId="0" xfId="0" applyFont="true" applyBorder="true" applyAlignment="true" applyProtection="false">
      <alignment horizontal="center" vertical="center" textRotation="0" wrapText="true" indent="0" shrinkToFit="false"/>
      <protection locked="true" hidden="false"/>
    </xf>
    <xf numFmtId="165" fontId="120" fillId="0" borderId="0" xfId="0" applyFont="true" applyBorder="true" applyAlignment="true" applyProtection="false">
      <alignment horizontal="general" vertical="bottom" textRotation="0" wrapText="false" indent="0" shrinkToFit="false"/>
      <protection locked="true" hidden="false"/>
    </xf>
    <xf numFmtId="165" fontId="120" fillId="0" borderId="0" xfId="0" applyFont="true" applyBorder="false" applyAlignment="true" applyProtection="false">
      <alignment horizontal="justify" vertical="bottom" textRotation="0" wrapText="false" indent="0" shrinkToFit="false"/>
      <protection locked="true" hidden="false"/>
    </xf>
    <xf numFmtId="165" fontId="120" fillId="0" borderId="0" xfId="0" applyFont="true" applyBorder="false" applyAlignment="true" applyProtection="false">
      <alignment horizontal="general" vertical="bottom" textRotation="0" wrapText="false" indent="0" shrinkToFit="false"/>
      <protection locked="true" hidden="false"/>
    </xf>
    <xf numFmtId="165" fontId="42" fillId="0" borderId="0" xfId="0" applyFont="true" applyBorder="false" applyAlignment="true" applyProtection="false">
      <alignment horizontal="general" vertical="bottom" textRotation="0" wrapText="false" indent="0" shrinkToFit="false"/>
      <protection locked="true" hidden="false"/>
    </xf>
    <xf numFmtId="165" fontId="121" fillId="0" borderId="0" xfId="0" applyFont="true" applyBorder="false" applyAlignment="true" applyProtection="false">
      <alignment horizontal="justify" vertical="top" textRotation="0" wrapText="false" indent="0" shrinkToFit="false"/>
      <protection locked="true" hidden="false"/>
    </xf>
    <xf numFmtId="165" fontId="121" fillId="0" borderId="0" xfId="0" applyFont="true" applyBorder="true" applyAlignment="true" applyProtection="false">
      <alignment horizontal="general" vertical="top" textRotation="0" wrapText="false" indent="0" shrinkToFit="false"/>
      <protection locked="true" hidden="false"/>
    </xf>
    <xf numFmtId="165" fontId="122" fillId="0" borderId="0" xfId="0" applyFont="true" applyBorder="true" applyAlignment="true" applyProtection="false">
      <alignment horizontal="center" vertical="bottom" textRotation="0" wrapText="false" indent="0" shrinkToFit="false"/>
      <protection locked="true" hidden="false"/>
    </xf>
    <xf numFmtId="173" fontId="118" fillId="0" borderId="13" xfId="0" applyFont="true" applyBorder="true" applyAlignment="true" applyProtection="true">
      <alignment horizontal="center" vertical="center" textRotation="0" wrapText="false" indent="0" shrinkToFit="false"/>
      <protection locked="false" hidden="false"/>
    </xf>
    <xf numFmtId="165" fontId="118" fillId="0" borderId="0" xfId="0" applyFont="true" applyBorder="true" applyAlignment="true" applyProtection="false">
      <alignment horizontal="general" vertical="bottom" textRotation="0" wrapText="false" indent="0" shrinkToFit="false"/>
      <protection locked="true" hidden="false"/>
    </xf>
    <xf numFmtId="165" fontId="123" fillId="0" borderId="0" xfId="23" applyFont="true" applyBorder="true" applyAlignment="true" applyProtection="true">
      <alignment horizontal="left" vertical="bottom" textRotation="0" wrapText="false" indent="0" shrinkToFit="false"/>
      <protection locked="true" hidden="false"/>
    </xf>
    <xf numFmtId="165" fontId="120" fillId="0" borderId="0" xfId="0" applyFont="true" applyBorder="true" applyAlignment="true" applyProtection="false">
      <alignment horizontal="general" vertical="bottom" textRotation="0" wrapText="false" indent="0" shrinkToFit="false"/>
      <protection locked="true" hidden="false"/>
    </xf>
    <xf numFmtId="165" fontId="118" fillId="0" borderId="77" xfId="0" applyFont="true" applyBorder="true" applyAlignment="true" applyProtection="false">
      <alignment horizontal="left" vertical="center" textRotation="0" wrapText="true" indent="0" shrinkToFit="false"/>
      <protection locked="true" hidden="false"/>
    </xf>
    <xf numFmtId="168" fontId="118" fillId="0" borderId="13" xfId="0" applyFont="true" applyBorder="true" applyAlignment="true" applyProtection="true">
      <alignment horizontal="center" vertical="center" textRotation="0" wrapText="false" indent="0" shrinkToFit="false"/>
      <protection locked="false" hidden="false"/>
    </xf>
    <xf numFmtId="165" fontId="120" fillId="0" borderId="0" xfId="0" applyFont="true" applyBorder="true" applyAlignment="true" applyProtection="false">
      <alignment horizontal="general" vertical="top" textRotation="0" wrapText="false" indent="0" shrinkToFit="false"/>
      <protection locked="true" hidden="false"/>
    </xf>
    <xf numFmtId="165" fontId="120" fillId="0" borderId="0" xfId="0" applyFont="true" applyBorder="true" applyAlignment="true" applyProtection="false">
      <alignment horizontal="justify" vertical="top" textRotation="0" wrapText="true" indent="0" shrinkToFit="false"/>
      <protection locked="true" hidden="false"/>
    </xf>
    <xf numFmtId="165" fontId="124" fillId="0" borderId="0" xfId="0" applyFont="true" applyBorder="true" applyAlignment="true" applyProtection="false">
      <alignment horizontal="general" vertical="bottom" textRotation="0" wrapText="false" indent="0" shrinkToFit="false"/>
      <protection locked="true" hidden="false"/>
    </xf>
    <xf numFmtId="165" fontId="122" fillId="0" borderId="0" xfId="0" applyFont="true" applyBorder="true" applyAlignment="true" applyProtection="false">
      <alignment horizontal="center" vertical="bottom" textRotation="0" wrapText="false" indent="0" shrinkToFit="false"/>
      <protection locked="true" hidden="false"/>
    </xf>
    <xf numFmtId="165" fontId="118" fillId="0" borderId="0" xfId="0" applyFont="true" applyBorder="true" applyAlignment="true" applyProtection="false">
      <alignment horizontal="general" vertical="bottom" textRotation="0" wrapText="false" indent="0" shrinkToFit="false"/>
      <protection locked="true" hidden="false"/>
    </xf>
    <xf numFmtId="165" fontId="37" fillId="0" borderId="0" xfId="0" applyFont="true" applyBorder="true" applyAlignment="true" applyProtection="false">
      <alignment horizontal="general" vertical="bottom" textRotation="0" wrapText="false" indent="0" shrinkToFit="false"/>
      <protection locked="true" hidden="false"/>
    </xf>
    <xf numFmtId="165" fontId="124" fillId="0" borderId="0" xfId="0" applyFont="true" applyBorder="true" applyAlignment="true" applyProtection="false">
      <alignment horizontal="general" vertical="bottom" textRotation="0" wrapText="false" indent="0" shrinkToFit="false"/>
      <protection locked="true" hidden="false"/>
    </xf>
    <xf numFmtId="165" fontId="125" fillId="0" borderId="0" xfId="0" applyFont="true" applyBorder="true" applyAlignment="true" applyProtection="false">
      <alignment horizontal="justify" vertical="center" textRotation="0" wrapText="true" indent="0" shrinkToFit="false"/>
      <protection locked="true" hidden="false"/>
    </xf>
    <xf numFmtId="165" fontId="118" fillId="0" borderId="0" xfId="0" applyFont="true" applyBorder="true" applyAlignment="true" applyProtection="true">
      <alignment horizontal="general" vertical="bottom" textRotation="0" wrapText="false" indent="0" shrinkToFit="false"/>
      <protection locked="false" hidden="false"/>
    </xf>
    <xf numFmtId="165" fontId="118" fillId="0" borderId="0" xfId="0" applyFont="true" applyBorder="true" applyAlignment="true" applyProtection="false">
      <alignment horizontal="left" vertical="center" textRotation="0" wrapText="true" indent="0" shrinkToFit="false"/>
      <protection locked="true" hidden="false"/>
    </xf>
    <xf numFmtId="165" fontId="118" fillId="0" borderId="0" xfId="0" applyFont="true" applyBorder="true" applyAlignment="true" applyProtection="false">
      <alignment horizontal="general" vertical="center" textRotation="0" wrapText="false" indent="0" shrinkToFit="false"/>
      <protection locked="true" hidden="false"/>
    </xf>
    <xf numFmtId="165" fontId="126" fillId="0" borderId="0" xfId="0" applyFont="true" applyBorder="false" applyAlignment="true" applyProtection="false">
      <alignment horizontal="center" vertical="bottom" textRotation="0" wrapText="false" indent="0" shrinkToFit="false"/>
      <protection locked="true" hidden="false"/>
    </xf>
    <xf numFmtId="165" fontId="127" fillId="0" borderId="0" xfId="0" applyFont="true" applyBorder="true" applyAlignment="true" applyProtection="false">
      <alignment horizontal="justify" vertical="top" textRotation="0" wrapText="true" indent="0" shrinkToFit="false"/>
      <protection locked="true" hidden="false"/>
    </xf>
    <xf numFmtId="165" fontId="37" fillId="0" borderId="0" xfId="0" applyFont="true" applyBorder="false" applyAlignment="true" applyProtection="false">
      <alignment horizontal="general" vertical="center" textRotation="0" wrapText="true" indent="0" shrinkToFit="false"/>
      <protection locked="true" hidden="false"/>
    </xf>
    <xf numFmtId="165" fontId="118" fillId="0" borderId="0" xfId="0" applyFont="true" applyBorder="true" applyAlignment="true" applyProtection="false">
      <alignment horizontal="justify" vertical="top" textRotation="0" wrapText="true" indent="0" shrinkToFit="false"/>
      <protection locked="true" hidden="false"/>
    </xf>
    <xf numFmtId="165" fontId="118" fillId="0" borderId="0" xfId="0" applyFont="true" applyBorder="true" applyAlignment="true" applyProtection="false">
      <alignment horizontal="left" vertical="center" textRotation="0" wrapText="true" indent="0" shrinkToFit="false"/>
      <protection locked="true" hidden="false"/>
    </xf>
    <xf numFmtId="165" fontId="127" fillId="0" borderId="0" xfId="0" applyFont="true" applyBorder="true" applyAlignment="true" applyProtection="false">
      <alignment horizontal="general" vertical="bottom" textRotation="0" wrapText="false" indent="0" shrinkToFit="false"/>
      <protection locked="true" hidden="false"/>
    </xf>
    <xf numFmtId="165" fontId="128" fillId="0" borderId="0" xfId="0" applyFont="true" applyBorder="true" applyAlignment="true" applyProtection="true">
      <alignment horizontal="general" vertical="bottom" textRotation="0" wrapText="false" indent="0" shrinkToFit="false"/>
      <protection locked="false" hidden="false"/>
    </xf>
    <xf numFmtId="165" fontId="29" fillId="0" borderId="0" xfId="0" applyFont="true" applyBorder="true" applyAlignment="true" applyProtection="false">
      <alignment horizontal="general" vertical="bottom" textRotation="0" wrapText="false" indent="0" shrinkToFit="false"/>
      <protection locked="true" hidden="false"/>
    </xf>
    <xf numFmtId="165" fontId="129" fillId="0" borderId="0" xfId="0" applyFont="true" applyBorder="false" applyAlignment="true" applyProtection="false">
      <alignment horizontal="general" vertical="bottom" textRotation="0" wrapText="true" indent="0" shrinkToFit="false"/>
      <protection locked="true" hidden="false"/>
    </xf>
    <xf numFmtId="165" fontId="129" fillId="0" borderId="0" xfId="0" applyFont="true" applyBorder="false" applyAlignment="true" applyProtection="false">
      <alignment horizontal="general" vertical="bottom" textRotation="0" wrapText="true" indent="0" shrinkToFit="false"/>
      <protection locked="true" hidden="false"/>
    </xf>
    <xf numFmtId="165" fontId="128" fillId="0" borderId="0" xfId="0" applyFont="true" applyBorder="true" applyAlignment="true" applyProtection="false">
      <alignment horizontal="left" vertical="bottom" textRotation="0" wrapText="false" indent="0" shrinkToFit="false"/>
      <protection locked="true" hidden="false"/>
    </xf>
    <xf numFmtId="165" fontId="130" fillId="0" borderId="0" xfId="0" applyFont="true" applyBorder="true" applyAlignment="true" applyProtection="false">
      <alignment horizontal="right" vertical="bottom" textRotation="0" wrapText="false" indent="0" shrinkToFit="false"/>
      <protection locked="true" hidden="false"/>
    </xf>
    <xf numFmtId="165" fontId="131" fillId="0" borderId="0" xfId="0" applyFont="true" applyBorder="true" applyAlignment="true" applyProtection="false">
      <alignment horizontal="general" vertical="bottom" textRotation="0" wrapText="false" indent="0" shrinkToFit="false"/>
      <protection locked="true" hidden="false"/>
    </xf>
    <xf numFmtId="165" fontId="122" fillId="0" borderId="0" xfId="0" applyFont="true" applyBorder="true" applyAlignment="true" applyProtection="false">
      <alignment horizontal="general" vertical="bottom" textRotation="0" wrapText="false" indent="0" shrinkToFit="false"/>
      <protection locked="true" hidden="false"/>
    </xf>
    <xf numFmtId="165" fontId="122" fillId="0" borderId="0" xfId="0" applyFont="true" applyBorder="false" applyAlignment="true" applyProtection="false">
      <alignment horizontal="justify" vertical="bottom" textRotation="0" wrapText="false" indent="0" shrinkToFit="false"/>
      <protection locked="true" hidden="false"/>
    </xf>
    <xf numFmtId="165" fontId="120" fillId="27" borderId="6" xfId="0" applyFont="true" applyBorder="true" applyAlignment="true" applyProtection="false">
      <alignment horizontal="justify" vertical="center" textRotation="0" wrapText="false" indent="0" shrinkToFit="false"/>
      <protection locked="true" hidden="false"/>
    </xf>
    <xf numFmtId="165" fontId="122" fillId="0" borderId="4" xfId="0" applyFont="true" applyBorder="true" applyAlignment="true" applyProtection="false">
      <alignment horizontal="center" vertical="bottom" textRotation="0" wrapText="false" indent="0" shrinkToFit="false"/>
      <protection locked="true" hidden="false"/>
    </xf>
    <xf numFmtId="165" fontId="120" fillId="28" borderId="6" xfId="0" applyFont="true" applyBorder="true" applyAlignment="true" applyProtection="false">
      <alignment horizontal="left" vertical="center" textRotation="0" wrapText="false" indent="0" shrinkToFit="false"/>
      <protection locked="true" hidden="false"/>
    </xf>
    <xf numFmtId="165" fontId="128" fillId="0" borderId="0" xfId="0" applyFont="true" applyBorder="true" applyAlignment="true" applyProtection="false">
      <alignment horizontal="general" vertical="bottom" textRotation="0" wrapText="false" indent="0" shrinkToFit="false"/>
      <protection locked="true" hidden="false"/>
    </xf>
    <xf numFmtId="165" fontId="120" fillId="0" borderId="0" xfId="0" applyFont="true" applyBorder="true" applyAlignment="true" applyProtection="false">
      <alignment horizontal="justify" vertical="bottom" textRotation="0" wrapText="true" indent="0" shrinkToFit="false"/>
      <protection locked="true" hidden="false"/>
    </xf>
    <xf numFmtId="165" fontId="125" fillId="0" borderId="0" xfId="0" applyFont="true" applyBorder="true" applyAlignment="true" applyProtection="false">
      <alignment horizontal="left" vertical="center" textRotation="0" wrapText="true" indent="0" shrinkToFit="false"/>
      <protection locked="true" hidden="false"/>
    </xf>
    <xf numFmtId="165" fontId="122" fillId="0" borderId="0" xfId="0" applyFont="true" applyBorder="false" applyAlignment="true" applyProtection="false">
      <alignment horizontal="left" vertical="bottom" textRotation="0" wrapText="false" indent="0" shrinkToFit="false"/>
      <protection locked="true" hidden="false"/>
    </xf>
    <xf numFmtId="165" fontId="37" fillId="0" borderId="0" xfId="0" applyFont="true" applyBorder="true" applyAlignment="true" applyProtection="false">
      <alignment horizontal="general" vertical="top" textRotation="0" wrapText="false" indent="0" shrinkToFit="false"/>
      <protection locked="true" hidden="false"/>
    </xf>
    <xf numFmtId="165" fontId="120" fillId="29" borderId="93" xfId="0" applyFont="true" applyBorder="true" applyAlignment="true" applyProtection="false">
      <alignment horizontal="center" vertical="center" textRotation="0" wrapText="true" indent="0" shrinkToFit="false"/>
      <protection locked="true" hidden="false"/>
    </xf>
    <xf numFmtId="165" fontId="120" fillId="29" borderId="94" xfId="0" applyFont="true" applyBorder="true" applyAlignment="true" applyProtection="false">
      <alignment horizontal="center" vertical="top" textRotation="0" wrapText="true" indent="0" shrinkToFit="false"/>
      <protection locked="true" hidden="false"/>
    </xf>
    <xf numFmtId="165" fontId="37" fillId="0" borderId="0" xfId="0" applyFont="true" applyBorder="true" applyAlignment="true" applyProtection="false">
      <alignment horizontal="general" vertical="top" textRotation="0" wrapText="false" indent="0" shrinkToFit="false"/>
      <protection locked="true" hidden="false"/>
    </xf>
    <xf numFmtId="165" fontId="122" fillId="29" borderId="95" xfId="0" applyFont="true" applyBorder="true" applyAlignment="true" applyProtection="false">
      <alignment horizontal="center" vertical="center" textRotation="0" wrapText="true" indent="0" shrinkToFit="false"/>
      <protection locked="true" hidden="false"/>
    </xf>
    <xf numFmtId="165" fontId="122" fillId="29" borderId="96" xfId="0" applyFont="true" applyBorder="true" applyAlignment="true" applyProtection="false">
      <alignment horizontal="center" vertical="center" textRotation="0" wrapText="true" indent="0" shrinkToFit="false"/>
      <protection locked="true" hidden="false"/>
    </xf>
    <xf numFmtId="165" fontId="122" fillId="29" borderId="22" xfId="0" applyFont="true" applyBorder="true" applyAlignment="true" applyProtection="false">
      <alignment horizontal="center" vertical="center" textRotation="0" wrapText="true" indent="0" shrinkToFit="false"/>
      <protection locked="true" hidden="false"/>
    </xf>
    <xf numFmtId="165" fontId="122" fillId="29" borderId="97" xfId="0" applyFont="true" applyBorder="true" applyAlignment="true" applyProtection="false">
      <alignment horizontal="center" vertical="center" textRotation="0" wrapText="true" indent="0" shrinkToFit="false"/>
      <protection locked="true" hidden="false"/>
    </xf>
    <xf numFmtId="165" fontId="122" fillId="29" borderId="98" xfId="0" applyFont="true" applyBorder="true" applyAlignment="true" applyProtection="false">
      <alignment horizontal="center" vertical="center" textRotation="0" wrapText="true" indent="0" shrinkToFit="false"/>
      <protection locked="true" hidden="false"/>
    </xf>
    <xf numFmtId="165" fontId="122" fillId="29" borderId="99" xfId="0" applyFont="true" applyBorder="true" applyAlignment="true" applyProtection="false">
      <alignment horizontal="center" vertical="center" textRotation="0" wrapText="true" indent="0" shrinkToFit="false"/>
      <protection locked="true" hidden="false"/>
    </xf>
    <xf numFmtId="165" fontId="122" fillId="29" borderId="15" xfId="0" applyFont="true" applyBorder="true" applyAlignment="true" applyProtection="false">
      <alignment horizontal="center" vertical="center" textRotation="0" wrapText="true" indent="0" shrinkToFit="false"/>
      <protection locked="true" hidden="false"/>
    </xf>
    <xf numFmtId="165" fontId="122" fillId="29" borderId="100" xfId="0" applyFont="true" applyBorder="true" applyAlignment="true" applyProtection="false">
      <alignment horizontal="center" vertical="center" textRotation="0" wrapText="true" indent="0" shrinkToFit="false"/>
      <protection locked="true" hidden="false"/>
    </xf>
    <xf numFmtId="165" fontId="122" fillId="29" borderId="101" xfId="0" applyFont="true" applyBorder="true" applyAlignment="true" applyProtection="false">
      <alignment horizontal="center" vertical="center" textRotation="0" wrapText="true" indent="0" shrinkToFit="false"/>
      <protection locked="true" hidden="false"/>
    </xf>
    <xf numFmtId="165" fontId="37" fillId="0" borderId="102" xfId="0" applyFont="true" applyBorder="true" applyAlignment="true" applyProtection="false">
      <alignment horizontal="general" vertical="bottom" textRotation="0" wrapText="false" indent="0" shrinkToFit="false"/>
      <protection locked="true" hidden="false"/>
    </xf>
    <xf numFmtId="165" fontId="132" fillId="26" borderId="103" xfId="0" applyFont="true" applyBorder="true" applyAlignment="true" applyProtection="false">
      <alignment horizontal="general" vertical="bottom" textRotation="0" wrapText="false" indent="0" shrinkToFit="false"/>
      <protection locked="true" hidden="false"/>
    </xf>
    <xf numFmtId="165" fontId="133" fillId="26" borderId="104" xfId="0" applyFont="true" applyBorder="true" applyAlignment="true" applyProtection="false">
      <alignment horizontal="right" vertical="center" textRotation="0" wrapText="false" indent="0" shrinkToFit="false"/>
      <protection locked="true" hidden="false"/>
    </xf>
    <xf numFmtId="165" fontId="133" fillId="26" borderId="105" xfId="0" applyFont="true" applyBorder="true" applyAlignment="true" applyProtection="false">
      <alignment horizontal="right" vertical="center" textRotation="0" wrapText="false" indent="0" shrinkToFit="false"/>
      <protection locked="true" hidden="false"/>
    </xf>
    <xf numFmtId="165" fontId="118" fillId="0" borderId="106" xfId="0" applyFont="true" applyBorder="true" applyAlignment="true" applyProtection="false">
      <alignment horizontal="general" vertical="bottom" textRotation="0" wrapText="false" indent="0" shrinkToFit="false"/>
      <protection locked="true" hidden="false"/>
    </xf>
    <xf numFmtId="174" fontId="118" fillId="0" borderId="34" xfId="0" applyFont="true" applyBorder="true" applyAlignment="true" applyProtection="true">
      <alignment horizontal="right" vertical="center" textRotation="0" wrapText="true" indent="0" shrinkToFit="false"/>
      <protection locked="false" hidden="false"/>
    </xf>
    <xf numFmtId="165" fontId="118" fillId="0" borderId="13" xfId="0" applyFont="true" applyBorder="true" applyAlignment="true" applyProtection="true">
      <alignment horizontal="right" vertical="center" textRotation="0" wrapText="false" indent="0" shrinkToFit="false"/>
      <protection locked="false" hidden="false"/>
    </xf>
    <xf numFmtId="165" fontId="118" fillId="0" borderId="107" xfId="0" applyFont="true" applyBorder="true" applyAlignment="true" applyProtection="true">
      <alignment horizontal="right" vertical="center" textRotation="0" wrapText="false" indent="0" shrinkToFit="false"/>
      <protection locked="false" hidden="false"/>
    </xf>
    <xf numFmtId="174" fontId="118" fillId="0" borderId="102" xfId="0" applyFont="true" applyBorder="true" applyAlignment="true" applyProtection="true">
      <alignment horizontal="right" vertical="center" textRotation="0" wrapText="false" indent="0" shrinkToFit="false"/>
      <protection locked="false" hidden="false"/>
    </xf>
    <xf numFmtId="165" fontId="118" fillId="0" borderId="106" xfId="0" applyFont="true" applyBorder="true" applyAlignment="true" applyProtection="false">
      <alignment horizontal="general" vertical="top" textRotation="0" wrapText="true" indent="0" shrinkToFit="false"/>
      <protection locked="true" hidden="false"/>
    </xf>
    <xf numFmtId="174" fontId="118" fillId="0" borderId="108" xfId="0" applyFont="true" applyBorder="true" applyAlignment="true" applyProtection="true">
      <alignment horizontal="right" vertical="center" textRotation="0" wrapText="false" indent="0" shrinkToFit="false"/>
      <protection locked="false" hidden="false"/>
    </xf>
    <xf numFmtId="165" fontId="118" fillId="0" borderId="109" xfId="0" applyFont="true" applyBorder="true" applyAlignment="true" applyProtection="false">
      <alignment horizontal="general" vertical="bottom" textRotation="0" wrapText="true" indent="0" shrinkToFit="false"/>
      <protection locked="true" hidden="false"/>
    </xf>
    <xf numFmtId="174" fontId="118" fillId="0" borderId="110" xfId="0" applyFont="true" applyBorder="true" applyAlignment="true" applyProtection="true">
      <alignment horizontal="right" vertical="center" textRotation="0" wrapText="true" indent="0" shrinkToFit="false"/>
      <protection locked="false" hidden="false"/>
    </xf>
    <xf numFmtId="165" fontId="118" fillId="0" borderId="28" xfId="0" applyFont="true" applyBorder="true" applyAlignment="true" applyProtection="true">
      <alignment horizontal="right" vertical="center" textRotation="0" wrapText="false" indent="0" shrinkToFit="false"/>
      <protection locked="false" hidden="false"/>
    </xf>
    <xf numFmtId="165" fontId="118" fillId="0" borderId="34" xfId="0" applyFont="true" applyBorder="true" applyAlignment="true" applyProtection="true">
      <alignment horizontal="right" vertical="center" textRotation="0" wrapText="false" indent="0" shrinkToFit="false"/>
      <protection locked="false" hidden="false"/>
    </xf>
    <xf numFmtId="165" fontId="118" fillId="0" borderId="111" xfId="0" applyFont="true" applyBorder="true" applyAlignment="true" applyProtection="true">
      <alignment horizontal="right" vertical="center" textRotation="0" wrapText="false" indent="0" shrinkToFit="false"/>
      <protection locked="false" hidden="false"/>
    </xf>
    <xf numFmtId="165" fontId="118" fillId="0" borderId="21" xfId="0" applyFont="true" applyBorder="true" applyAlignment="true" applyProtection="true">
      <alignment horizontal="right" vertical="center" textRotation="0" wrapText="false" indent="0" shrinkToFit="false"/>
      <protection locked="false" hidden="false"/>
    </xf>
    <xf numFmtId="165" fontId="118" fillId="0" borderId="112" xfId="0" applyFont="true" applyBorder="true" applyAlignment="true" applyProtection="true">
      <alignment horizontal="right" vertical="center" textRotation="0" wrapText="false" indent="0" shrinkToFit="false"/>
      <protection locked="false" hidden="false"/>
    </xf>
    <xf numFmtId="165" fontId="122" fillId="29" borderId="113" xfId="0" applyFont="true" applyBorder="true" applyAlignment="true" applyProtection="false">
      <alignment horizontal="general" vertical="bottom" textRotation="0" wrapText="false" indent="0" shrinkToFit="false"/>
      <protection locked="true" hidden="false"/>
    </xf>
    <xf numFmtId="174" fontId="118" fillId="27" borderId="109" xfId="0" applyFont="true" applyBorder="true" applyAlignment="true" applyProtection="true">
      <alignment horizontal="right" vertical="center" textRotation="0" wrapText="false" indent="0" shrinkToFit="false"/>
      <protection locked="false" hidden="false"/>
    </xf>
    <xf numFmtId="165" fontId="118" fillId="27" borderId="114" xfId="0" applyFont="true" applyBorder="true" applyAlignment="true" applyProtection="true">
      <alignment horizontal="right" vertical="center" textRotation="0" wrapText="false" indent="0" shrinkToFit="false"/>
      <protection locked="false" hidden="false"/>
    </xf>
    <xf numFmtId="165" fontId="118" fillId="27" borderId="87" xfId="0" applyFont="true" applyBorder="true" applyAlignment="true" applyProtection="true">
      <alignment horizontal="right" vertical="center" textRotation="0" wrapText="false" indent="0" shrinkToFit="false"/>
      <protection locked="false" hidden="false"/>
    </xf>
    <xf numFmtId="174" fontId="118" fillId="27" borderId="87" xfId="0" applyFont="true" applyBorder="true" applyAlignment="true" applyProtection="true">
      <alignment horizontal="right" vertical="center" textRotation="0" wrapText="false" indent="0" shrinkToFit="false"/>
      <protection locked="false" hidden="false"/>
    </xf>
    <xf numFmtId="174" fontId="118" fillId="27" borderId="114" xfId="0" applyFont="true" applyBorder="true" applyAlignment="true" applyProtection="true">
      <alignment horizontal="right" vertical="center" textRotation="0" wrapText="false" indent="0" shrinkToFit="false"/>
      <protection locked="false" hidden="false"/>
    </xf>
    <xf numFmtId="165" fontId="118" fillId="27" borderId="8" xfId="0" applyFont="true" applyBorder="true" applyAlignment="true" applyProtection="true">
      <alignment horizontal="right" vertical="center" textRotation="0" wrapText="false" indent="0" shrinkToFit="false"/>
      <protection locked="false" hidden="false"/>
    </xf>
    <xf numFmtId="165" fontId="118" fillId="27" borderId="17" xfId="0" applyFont="true" applyBorder="true" applyAlignment="true" applyProtection="true">
      <alignment horizontal="right" vertical="center" textRotation="0" wrapText="false" indent="0" shrinkToFit="false"/>
      <protection locked="false" hidden="false"/>
    </xf>
    <xf numFmtId="165" fontId="118" fillId="27" borderId="115" xfId="0" applyFont="true" applyBorder="true" applyAlignment="true" applyProtection="true">
      <alignment horizontal="right" vertical="center" textRotation="0" wrapText="false" indent="0" shrinkToFit="false"/>
      <protection locked="false" hidden="false"/>
    </xf>
    <xf numFmtId="174" fontId="118" fillId="27" borderId="116" xfId="0" applyFont="true" applyBorder="true" applyAlignment="true" applyProtection="true">
      <alignment horizontal="right" vertical="center" textRotation="0" wrapText="false" indent="0" shrinkToFit="false"/>
      <protection locked="false" hidden="false"/>
    </xf>
    <xf numFmtId="165" fontId="37" fillId="0" borderId="117" xfId="0" applyFont="true" applyBorder="true" applyAlignment="true" applyProtection="false">
      <alignment horizontal="general" vertical="bottom" textRotation="0" wrapText="false" indent="0" shrinkToFit="false"/>
      <protection locked="true" hidden="false"/>
    </xf>
    <xf numFmtId="165" fontId="132" fillId="26" borderId="118" xfId="0" applyFont="true" applyBorder="true" applyAlignment="true" applyProtection="false">
      <alignment horizontal="general" vertical="bottom" textRotation="0" wrapText="false" indent="0" shrinkToFit="false"/>
      <protection locked="true" hidden="false"/>
    </xf>
    <xf numFmtId="165" fontId="118" fillId="26" borderId="118" xfId="0" applyFont="true" applyBorder="true" applyAlignment="true" applyProtection="false">
      <alignment horizontal="right" vertical="center" textRotation="0" wrapText="false" indent="0" shrinkToFit="false"/>
      <protection locked="true" hidden="false"/>
    </xf>
    <xf numFmtId="174" fontId="118" fillId="26" borderId="118" xfId="0" applyFont="true" applyBorder="true" applyAlignment="true" applyProtection="false">
      <alignment horizontal="right" vertical="center" textRotation="0" wrapText="false" indent="0" shrinkToFit="false"/>
      <protection locked="true" hidden="false"/>
    </xf>
    <xf numFmtId="165" fontId="118" fillId="0" borderId="108" xfId="0" applyFont="true" applyBorder="true" applyAlignment="true" applyProtection="false">
      <alignment horizontal="general" vertical="bottom" textRotation="0" wrapText="false" indent="0" shrinkToFit="false"/>
      <protection locked="true" hidden="false"/>
    </xf>
    <xf numFmtId="174" fontId="37" fillId="0" borderId="34" xfId="0" applyFont="true" applyBorder="true" applyAlignment="true" applyProtection="true">
      <alignment horizontal="right" vertical="center" textRotation="0" wrapText="true" indent="0" shrinkToFit="false"/>
      <protection locked="false" hidden="false"/>
    </xf>
    <xf numFmtId="174" fontId="37" fillId="0" borderId="119" xfId="0" applyFont="true" applyBorder="true" applyAlignment="true" applyProtection="true">
      <alignment horizontal="right" vertical="center" textRotation="0" wrapText="true" indent="0" shrinkToFit="false"/>
      <protection locked="false" hidden="false"/>
    </xf>
    <xf numFmtId="174" fontId="37" fillId="0" borderId="13" xfId="0" applyFont="true" applyBorder="true" applyAlignment="true" applyProtection="true">
      <alignment horizontal="right" vertical="center" textRotation="0" wrapText="true" indent="0" shrinkToFit="false"/>
      <protection locked="false" hidden="false"/>
    </xf>
    <xf numFmtId="165" fontId="122" fillId="29" borderId="109" xfId="0" applyFont="true" applyBorder="true" applyAlignment="true" applyProtection="false">
      <alignment horizontal="general" vertical="bottom" textRotation="0" wrapText="false" indent="0" shrinkToFit="false"/>
      <protection locked="true" hidden="false"/>
    </xf>
    <xf numFmtId="165" fontId="118" fillId="27" borderId="109" xfId="0" applyFont="true" applyBorder="true" applyAlignment="true" applyProtection="true">
      <alignment horizontal="right" vertical="center" textRotation="0" wrapText="false" indent="0" shrinkToFit="false"/>
      <protection locked="false" hidden="false"/>
    </xf>
    <xf numFmtId="165" fontId="118" fillId="27" borderId="100" xfId="0" applyFont="true" applyBorder="true" applyAlignment="true" applyProtection="true">
      <alignment horizontal="right" vertical="center" textRotation="0" wrapText="false" indent="0" shrinkToFit="false"/>
      <protection locked="false" hidden="false"/>
    </xf>
    <xf numFmtId="174" fontId="118" fillId="27" borderId="100" xfId="0" applyFont="true" applyBorder="true" applyAlignment="true" applyProtection="true">
      <alignment horizontal="right" vertical="center" textRotation="0" wrapText="false" indent="0" shrinkToFit="false"/>
      <protection locked="false" hidden="false"/>
    </xf>
    <xf numFmtId="174" fontId="37" fillId="27" borderId="100" xfId="0" applyFont="true" applyBorder="true" applyAlignment="true" applyProtection="true">
      <alignment horizontal="right" vertical="center" textRotation="0" wrapText="false" indent="0" shrinkToFit="false"/>
      <protection locked="false" hidden="false"/>
    </xf>
    <xf numFmtId="165" fontId="118" fillId="27" borderId="101" xfId="0" applyFont="true" applyBorder="true" applyAlignment="true" applyProtection="true">
      <alignment horizontal="right" vertical="center" textRotation="0" wrapText="false" indent="0" shrinkToFit="false"/>
      <protection locked="false" hidden="false"/>
    </xf>
    <xf numFmtId="174" fontId="118" fillId="27" borderId="120" xfId="0" applyFont="true" applyBorder="true" applyAlignment="true" applyProtection="true">
      <alignment horizontal="right" vertical="center" textRotation="0" wrapText="false" indent="0" shrinkToFit="false"/>
      <protection locked="false" hidden="false"/>
    </xf>
    <xf numFmtId="165" fontId="120" fillId="29" borderId="121" xfId="0" applyFont="true" applyBorder="true" applyAlignment="true" applyProtection="false">
      <alignment horizontal="general" vertical="bottom" textRotation="0" wrapText="false" indent="0" shrinkToFit="false"/>
      <protection locked="true" hidden="false"/>
    </xf>
    <xf numFmtId="174" fontId="122" fillId="27" borderId="122" xfId="0" applyFont="true" applyBorder="true" applyAlignment="true" applyProtection="true">
      <alignment horizontal="right" vertical="center" textRotation="0" wrapText="false" indent="0" shrinkToFit="false"/>
      <protection locked="false" hidden="false"/>
    </xf>
    <xf numFmtId="165" fontId="122" fillId="27" borderId="123" xfId="0" applyFont="true" applyBorder="true" applyAlignment="true" applyProtection="true">
      <alignment horizontal="right" vertical="center" textRotation="0" wrapText="false" indent="0" shrinkToFit="false"/>
      <protection locked="false" hidden="false"/>
    </xf>
    <xf numFmtId="165" fontId="122" fillId="27" borderId="124" xfId="0" applyFont="true" applyBorder="true" applyAlignment="true" applyProtection="true">
      <alignment horizontal="right" vertical="center" textRotation="0" wrapText="false" indent="0" shrinkToFit="false"/>
      <protection locked="false" hidden="false"/>
    </xf>
    <xf numFmtId="174" fontId="122" fillId="27" borderId="124" xfId="0" applyFont="true" applyBorder="true" applyAlignment="true" applyProtection="true">
      <alignment horizontal="right" vertical="center" textRotation="0" wrapText="false" indent="0" shrinkToFit="false"/>
      <protection locked="false" hidden="false"/>
    </xf>
    <xf numFmtId="174" fontId="122" fillId="27" borderId="123" xfId="0" applyFont="true" applyBorder="true" applyAlignment="true" applyProtection="true">
      <alignment horizontal="right" vertical="center" textRotation="0" wrapText="false" indent="0" shrinkToFit="false"/>
      <protection locked="false" hidden="false"/>
    </xf>
    <xf numFmtId="174" fontId="122" fillId="27" borderId="125" xfId="0" applyFont="true" applyBorder="true" applyAlignment="true" applyProtection="true">
      <alignment horizontal="right" vertical="center" textRotation="0" wrapText="false" indent="0" shrinkToFit="false"/>
      <protection locked="false" hidden="false"/>
    </xf>
    <xf numFmtId="174" fontId="77" fillId="27" borderId="125" xfId="0" applyFont="true" applyBorder="true" applyAlignment="true" applyProtection="true">
      <alignment horizontal="right" vertical="center" textRotation="0" wrapText="false" indent="0" shrinkToFit="false"/>
      <protection locked="false" hidden="false"/>
    </xf>
    <xf numFmtId="165" fontId="122" fillId="27" borderId="126" xfId="0" applyFont="true" applyBorder="true" applyAlignment="true" applyProtection="true">
      <alignment horizontal="right" vertical="center" textRotation="0" wrapText="false" indent="0" shrinkToFit="false"/>
      <protection locked="false" hidden="false"/>
    </xf>
    <xf numFmtId="174" fontId="122" fillId="27" borderId="94" xfId="0" applyFont="true" applyBorder="true" applyAlignment="true" applyProtection="true">
      <alignment horizontal="right" vertical="center" textRotation="0" wrapText="false" indent="0" shrinkToFit="false"/>
      <protection locked="false" hidden="false"/>
    </xf>
    <xf numFmtId="165" fontId="120" fillId="0" borderId="127" xfId="0" applyFont="true" applyBorder="true" applyAlignment="true" applyProtection="false">
      <alignment horizontal="general" vertical="bottom" textRotation="0" wrapText="false" indent="0" shrinkToFit="false"/>
      <protection locked="true" hidden="false"/>
    </xf>
    <xf numFmtId="165" fontId="122" fillId="0" borderId="0" xfId="0" applyFont="true" applyBorder="true" applyAlignment="true" applyProtection="false">
      <alignment horizontal="right" vertical="center" textRotation="0" wrapText="false" indent="0" shrinkToFit="false"/>
      <protection locked="true" hidden="false"/>
    </xf>
    <xf numFmtId="165" fontId="122" fillId="0" borderId="93" xfId="0" applyFont="true" applyBorder="true" applyAlignment="true" applyProtection="false">
      <alignment horizontal="justify" vertical="center" textRotation="0" wrapText="false" indent="0" shrinkToFit="false"/>
      <protection locked="true" hidden="false"/>
    </xf>
    <xf numFmtId="165" fontId="118" fillId="0" borderId="94" xfId="0" applyFont="true" applyBorder="true" applyAlignment="true" applyProtection="true">
      <alignment horizontal="left" vertical="center" textRotation="0" wrapText="false" indent="0" shrinkToFit="false"/>
      <protection locked="false" hidden="false"/>
    </xf>
    <xf numFmtId="165" fontId="122" fillId="0" borderId="93" xfId="0" applyFont="true" applyBorder="true" applyAlignment="true" applyProtection="false">
      <alignment horizontal="justify" vertical="center" textRotation="0" wrapText="true" indent="0" shrinkToFit="false"/>
      <protection locked="true" hidden="false"/>
    </xf>
    <xf numFmtId="165" fontId="134" fillId="0" borderId="0" xfId="0" applyFont="true" applyBorder="true" applyAlignment="true" applyProtection="false">
      <alignment horizontal="left" vertical="bottom" textRotation="0" wrapText="false" indent="0" shrinkToFit="false"/>
      <protection locked="true" hidden="false"/>
    </xf>
    <xf numFmtId="165" fontId="135" fillId="0" borderId="0" xfId="0" applyFont="true" applyBorder="true" applyAlignment="true" applyProtection="false">
      <alignment horizontal="general" vertical="bottom" textRotation="0" wrapText="false" indent="0" shrinkToFit="false"/>
      <protection locked="true" hidden="false"/>
    </xf>
    <xf numFmtId="165" fontId="76" fillId="0" borderId="0" xfId="0" applyFont="true" applyBorder="true" applyAlignment="true" applyProtection="false">
      <alignment horizontal="justify" vertical="bottom" textRotation="0" wrapText="false" indent="0" shrinkToFit="false"/>
      <protection locked="true" hidden="false"/>
    </xf>
    <xf numFmtId="165" fontId="120" fillId="0" borderId="0" xfId="0" applyFont="true" applyBorder="true" applyAlignment="true" applyProtection="false">
      <alignment horizontal="justify" vertical="bottom" textRotation="0" wrapText="false" indent="0" shrinkToFit="false"/>
      <protection locked="true" hidden="false"/>
    </xf>
    <xf numFmtId="165" fontId="120" fillId="29" borderId="103" xfId="0" applyFont="true" applyBorder="true" applyAlignment="true" applyProtection="false">
      <alignment horizontal="center" vertical="center" textRotation="0" wrapText="true" indent="0" shrinkToFit="false"/>
      <protection locked="true" hidden="false"/>
    </xf>
    <xf numFmtId="165" fontId="37" fillId="0" borderId="117" xfId="0" applyFont="true" applyBorder="true" applyAlignment="true" applyProtection="false">
      <alignment horizontal="general" vertical="top" textRotation="0" wrapText="false" indent="0" shrinkToFit="false"/>
      <protection locked="true" hidden="false"/>
    </xf>
    <xf numFmtId="165" fontId="122" fillId="29" borderId="128" xfId="0" applyFont="true" applyBorder="true" applyAlignment="true" applyProtection="false">
      <alignment horizontal="center" vertical="center" textRotation="0" wrapText="true" indent="0" shrinkToFit="false"/>
      <protection locked="true" hidden="false"/>
    </xf>
    <xf numFmtId="165" fontId="122" fillId="29" borderId="129" xfId="0" applyFont="true" applyBorder="true" applyAlignment="true" applyProtection="false">
      <alignment horizontal="center" vertical="center" textRotation="0" wrapText="true" indent="0" shrinkToFit="false"/>
      <protection locked="true" hidden="false"/>
    </xf>
    <xf numFmtId="165" fontId="37" fillId="0" borderId="21" xfId="0" applyFont="true" applyBorder="true" applyAlignment="true" applyProtection="false">
      <alignment horizontal="general" vertical="bottom" textRotation="0" wrapText="false" indent="0" shrinkToFit="false"/>
      <protection locked="true" hidden="false"/>
    </xf>
    <xf numFmtId="165" fontId="122" fillId="29" borderId="130" xfId="0" applyFont="true" applyBorder="true" applyAlignment="true" applyProtection="false">
      <alignment horizontal="center" vertical="center" textRotation="0" wrapText="true" indent="0" shrinkToFit="false"/>
      <protection locked="true" hidden="false"/>
    </xf>
    <xf numFmtId="165" fontId="37" fillId="0" borderId="102" xfId="0" applyFont="true" applyBorder="true" applyAlignment="true" applyProtection="false">
      <alignment horizontal="general" vertical="center" textRotation="0" wrapText="false" indent="0" shrinkToFit="false"/>
      <protection locked="true" hidden="false"/>
    </xf>
    <xf numFmtId="165" fontId="132" fillId="26" borderId="118" xfId="0" applyFont="true" applyBorder="true" applyAlignment="true" applyProtection="false">
      <alignment horizontal="general" vertical="center" textRotation="0" wrapText="false" indent="0" shrinkToFit="false"/>
      <protection locked="true" hidden="false"/>
    </xf>
    <xf numFmtId="165" fontId="122" fillId="26" borderId="81" xfId="0" applyFont="true" applyBorder="true" applyAlignment="true" applyProtection="false">
      <alignment horizontal="general" vertical="center" textRotation="0" wrapText="false" indent="0" shrinkToFit="false"/>
      <protection locked="true" hidden="false"/>
    </xf>
    <xf numFmtId="165" fontId="122" fillId="26" borderId="25" xfId="0" applyFont="true" applyBorder="true" applyAlignment="true" applyProtection="false">
      <alignment horizontal="general" vertical="center" textRotation="0" wrapText="false" indent="0" shrinkToFit="false"/>
      <protection locked="true" hidden="false"/>
    </xf>
    <xf numFmtId="165" fontId="122" fillId="26" borderId="27" xfId="0" applyFont="true" applyBorder="true" applyAlignment="true" applyProtection="false">
      <alignment horizontal="general" vertical="center" textRotation="0" wrapText="false" indent="0" shrinkToFit="false"/>
      <protection locked="true" hidden="false"/>
    </xf>
    <xf numFmtId="165" fontId="122" fillId="26" borderId="21" xfId="0" applyFont="true" applyBorder="true" applyAlignment="true" applyProtection="false">
      <alignment horizontal="general" vertical="center" textRotation="0" wrapText="false" indent="0" shrinkToFit="false"/>
      <protection locked="true" hidden="false"/>
    </xf>
    <xf numFmtId="165" fontId="122" fillId="26" borderId="131" xfId="0" applyFont="true" applyBorder="true" applyAlignment="true" applyProtection="false">
      <alignment horizontal="general" vertical="center" textRotation="0" wrapText="false" indent="0" shrinkToFit="false"/>
      <protection locked="true" hidden="false"/>
    </xf>
    <xf numFmtId="165" fontId="122" fillId="26" borderId="132" xfId="0" applyFont="true" applyBorder="true" applyAlignment="true" applyProtection="false">
      <alignment horizontal="general" vertical="center" textRotation="0" wrapText="false" indent="0" shrinkToFit="false"/>
      <protection locked="true" hidden="false"/>
    </xf>
    <xf numFmtId="165" fontId="37" fillId="0" borderId="0" xfId="0" applyFont="true" applyBorder="true" applyAlignment="true" applyProtection="false">
      <alignment horizontal="general" vertical="center" textRotation="0" wrapText="false" indent="0" shrinkToFit="false"/>
      <protection locked="true" hidden="false"/>
    </xf>
    <xf numFmtId="165" fontId="118" fillId="0" borderId="13" xfId="0" applyFont="true" applyBorder="true" applyAlignment="true" applyProtection="true">
      <alignment horizontal="right" vertical="center" textRotation="0" wrapText="false" indent="0" shrinkToFit="false"/>
      <protection locked="false" hidden="false"/>
    </xf>
    <xf numFmtId="165" fontId="118" fillId="0" borderId="107" xfId="0" applyFont="true" applyBorder="true" applyAlignment="true" applyProtection="true">
      <alignment horizontal="right" vertical="center" textRotation="0" wrapText="false" indent="0" shrinkToFit="false"/>
      <protection locked="false" hidden="false"/>
    </xf>
    <xf numFmtId="174" fontId="118" fillId="20" borderId="108" xfId="0" applyFont="true" applyBorder="true" applyAlignment="true" applyProtection="true">
      <alignment horizontal="right" vertical="center" textRotation="0" wrapText="false" indent="0" shrinkToFit="false"/>
      <protection locked="false" hidden="false"/>
    </xf>
    <xf numFmtId="165" fontId="118" fillId="0" borderId="108" xfId="0" applyFont="true" applyBorder="true" applyAlignment="true" applyProtection="false">
      <alignment horizontal="general" vertical="top" textRotation="0" wrapText="true" indent="0" shrinkToFit="false"/>
      <protection locked="true" hidden="false"/>
    </xf>
    <xf numFmtId="165" fontId="118" fillId="0" borderId="108" xfId="0" applyFont="true" applyBorder="true" applyAlignment="true" applyProtection="false">
      <alignment horizontal="general" vertical="bottom" textRotation="0" wrapText="true" indent="0" shrinkToFit="false"/>
      <protection locked="true" hidden="false"/>
    </xf>
    <xf numFmtId="165" fontId="122" fillId="29" borderId="120" xfId="0" applyFont="true" applyBorder="true" applyAlignment="true" applyProtection="false">
      <alignment horizontal="general" vertical="bottom" textRotation="0" wrapText="false" indent="0" shrinkToFit="false"/>
      <protection locked="true" hidden="false"/>
    </xf>
    <xf numFmtId="174" fontId="118" fillId="27" borderId="133" xfId="0" applyFont="true" applyBorder="true" applyAlignment="true" applyProtection="true">
      <alignment horizontal="right" vertical="center" textRotation="0" wrapText="false" indent="0" shrinkToFit="false"/>
      <protection locked="false" hidden="false"/>
    </xf>
    <xf numFmtId="165" fontId="118" fillId="27" borderId="133" xfId="0" applyFont="true" applyBorder="true" applyAlignment="true" applyProtection="true">
      <alignment horizontal="right" vertical="center" textRotation="0" wrapText="false" indent="0" shrinkToFit="false"/>
      <protection locked="false" hidden="false"/>
    </xf>
    <xf numFmtId="165" fontId="118" fillId="27" borderId="8" xfId="0" applyFont="true" applyBorder="true" applyAlignment="true" applyProtection="true">
      <alignment horizontal="right" vertical="center" textRotation="0" wrapText="false" indent="0" shrinkToFit="false"/>
      <protection locked="false" hidden="false"/>
    </xf>
    <xf numFmtId="174" fontId="118" fillId="27" borderId="134" xfId="0" applyFont="true" applyBorder="true" applyAlignment="true" applyProtection="true">
      <alignment horizontal="right" vertical="center" textRotation="0" wrapText="false" indent="0" shrinkToFit="false"/>
      <protection locked="false" hidden="false"/>
    </xf>
    <xf numFmtId="165" fontId="122" fillId="26" borderId="81" xfId="0" applyFont="true" applyBorder="true" applyAlignment="true" applyProtection="false">
      <alignment horizontal="right" vertical="center" textRotation="0" wrapText="false" indent="0" shrinkToFit="false"/>
      <protection locked="true" hidden="false"/>
    </xf>
    <xf numFmtId="165" fontId="122" fillId="26" borderId="25" xfId="0" applyFont="true" applyBorder="true" applyAlignment="true" applyProtection="false">
      <alignment horizontal="right" vertical="center" textRotation="0" wrapText="false" indent="0" shrinkToFit="false"/>
      <protection locked="true" hidden="false"/>
    </xf>
    <xf numFmtId="165" fontId="122" fillId="26" borderId="30" xfId="0" applyFont="true" applyBorder="true" applyAlignment="true" applyProtection="false">
      <alignment horizontal="right" vertical="center" textRotation="0" wrapText="false" indent="0" shrinkToFit="false"/>
      <protection locked="true" hidden="false"/>
    </xf>
    <xf numFmtId="165" fontId="122" fillId="26" borderId="135" xfId="0" applyFont="true" applyBorder="true" applyAlignment="true" applyProtection="false">
      <alignment horizontal="right" vertical="center" textRotation="0" wrapText="false" indent="0" shrinkToFit="false"/>
      <protection locked="true" hidden="false"/>
    </xf>
    <xf numFmtId="165" fontId="122" fillId="26" borderId="118" xfId="0" applyFont="true" applyBorder="true" applyAlignment="true" applyProtection="false">
      <alignment horizontal="right" vertical="center" textRotation="0" wrapText="false" indent="0" shrinkToFit="false"/>
      <protection locked="true" hidden="false"/>
    </xf>
    <xf numFmtId="165" fontId="118" fillId="0" borderId="34" xfId="0" applyFont="true" applyBorder="true" applyAlignment="true" applyProtection="true">
      <alignment horizontal="right" vertical="center" textRotation="0" wrapText="false" indent="0" shrinkToFit="false"/>
      <protection locked="false" hidden="false"/>
    </xf>
    <xf numFmtId="165" fontId="122" fillId="29" borderId="136" xfId="0" applyFont="true" applyBorder="true" applyAlignment="true" applyProtection="false">
      <alignment horizontal="general" vertical="bottom" textRotation="0" wrapText="false" indent="0" shrinkToFit="false"/>
      <protection locked="true" hidden="false"/>
    </xf>
    <xf numFmtId="174" fontId="118" fillId="20" borderId="134" xfId="0" applyFont="true" applyBorder="true" applyAlignment="true" applyProtection="true">
      <alignment horizontal="right" vertical="center" textRotation="0" wrapText="false" indent="0" shrinkToFit="false"/>
      <protection locked="false" hidden="false"/>
    </xf>
    <xf numFmtId="165" fontId="132" fillId="26" borderId="132" xfId="0" applyFont="true" applyBorder="true" applyAlignment="true" applyProtection="false">
      <alignment horizontal="general" vertical="center" textRotation="0" wrapText="false" indent="0" shrinkToFit="false"/>
      <protection locked="true" hidden="false"/>
    </xf>
    <xf numFmtId="165" fontId="122" fillId="26" borderId="137" xfId="0" applyFont="true" applyBorder="true" applyAlignment="true" applyProtection="false">
      <alignment horizontal="right" vertical="center" textRotation="0" wrapText="false" indent="0" shrinkToFit="false"/>
      <protection locked="true" hidden="false"/>
    </xf>
    <xf numFmtId="165" fontId="37" fillId="0" borderId="117" xfId="0" applyFont="true" applyBorder="true" applyAlignment="true" applyProtection="false">
      <alignment horizontal="general" vertical="center" textRotation="0" wrapText="false" indent="0" shrinkToFit="false"/>
      <protection locked="true" hidden="false"/>
    </xf>
    <xf numFmtId="165" fontId="118" fillId="2" borderId="108" xfId="0" applyFont="true" applyBorder="true" applyAlignment="true" applyProtection="false">
      <alignment horizontal="general" vertical="center" textRotation="0" wrapText="false" indent="0" shrinkToFit="false"/>
      <protection locked="true" hidden="false"/>
    </xf>
    <xf numFmtId="165" fontId="118" fillId="28" borderId="138" xfId="0" applyFont="true" applyBorder="true" applyAlignment="true" applyProtection="false">
      <alignment horizontal="right" vertical="center" textRotation="0" wrapText="false" indent="0" shrinkToFit="false"/>
      <protection locked="true" hidden="false"/>
    </xf>
    <xf numFmtId="165" fontId="118" fillId="0" borderId="108" xfId="0" applyFont="true" applyBorder="true" applyAlignment="true" applyProtection="false">
      <alignment horizontal="general" vertical="center" textRotation="0" wrapText="false" indent="0" shrinkToFit="false"/>
      <protection locked="true" hidden="false"/>
    </xf>
    <xf numFmtId="165" fontId="136" fillId="0" borderId="129" xfId="0" applyFont="true" applyBorder="true" applyAlignment="true" applyProtection="true">
      <alignment horizontal="general" vertical="bottom" textRotation="0" wrapText="false" indent="0" shrinkToFit="false"/>
      <protection locked="false" hidden="false"/>
    </xf>
    <xf numFmtId="174" fontId="118" fillId="0" borderId="138" xfId="0" applyFont="true" applyBorder="true" applyAlignment="true" applyProtection="true">
      <alignment horizontal="right" vertical="center" textRotation="0" wrapText="false" indent="0" shrinkToFit="false"/>
      <protection locked="false" hidden="false"/>
    </xf>
    <xf numFmtId="165" fontId="120" fillId="29" borderId="94" xfId="0" applyFont="true" applyBorder="true" applyAlignment="true" applyProtection="false">
      <alignment horizontal="general" vertical="bottom" textRotation="0" wrapText="false" indent="0" shrinkToFit="false"/>
      <protection locked="true" hidden="false"/>
    </xf>
    <xf numFmtId="174" fontId="122" fillId="27" borderId="139" xfId="0" applyFont="true" applyBorder="true" applyAlignment="true" applyProtection="true">
      <alignment horizontal="right" vertical="center" textRotation="0" wrapText="false" indent="0" shrinkToFit="false"/>
      <protection locked="false" hidden="false"/>
    </xf>
    <xf numFmtId="165" fontId="76" fillId="0" borderId="0" xfId="0" applyFont="true" applyBorder="true" applyAlignment="true" applyProtection="false">
      <alignment horizontal="right" vertical="center" textRotation="0" wrapText="false" indent="0" shrinkToFit="false"/>
      <protection locked="true" hidden="false"/>
    </xf>
    <xf numFmtId="165" fontId="37" fillId="0" borderId="0" xfId="0" applyFont="true" applyBorder="true" applyAlignment="true" applyProtection="false">
      <alignment horizontal="right" vertical="center" textRotation="0" wrapText="false" indent="0" shrinkToFit="false"/>
      <protection locked="true" hidden="false"/>
    </xf>
    <xf numFmtId="165" fontId="120" fillId="0" borderId="93" xfId="0" applyFont="true" applyBorder="true" applyAlignment="true" applyProtection="false">
      <alignment horizontal="justify" vertical="bottom" textRotation="0" wrapText="false" indent="0" shrinkToFit="false"/>
      <protection locked="true" hidden="false"/>
    </xf>
    <xf numFmtId="165" fontId="118" fillId="27" borderId="122" xfId="0" applyFont="true" applyBorder="true" applyAlignment="true" applyProtection="true">
      <alignment horizontal="right" vertical="center" textRotation="0" wrapText="false" indent="0" shrinkToFit="false"/>
      <protection locked="false" hidden="false"/>
    </xf>
    <xf numFmtId="165" fontId="118" fillId="27" borderId="124" xfId="0" applyFont="true" applyBorder="true" applyAlignment="true" applyProtection="true">
      <alignment horizontal="right" vertical="center" textRotation="0" wrapText="false" indent="0" shrinkToFit="false"/>
      <protection locked="false" hidden="false"/>
    </xf>
    <xf numFmtId="165" fontId="118" fillId="27" borderId="123" xfId="0" applyFont="true" applyBorder="true" applyAlignment="true" applyProtection="true">
      <alignment horizontal="right" vertical="center" textRotation="0" wrapText="false" indent="0" shrinkToFit="false"/>
      <protection locked="false" hidden="false"/>
    </xf>
    <xf numFmtId="165" fontId="118" fillId="27" borderId="125" xfId="0" applyFont="true" applyBorder="true" applyAlignment="true" applyProtection="true">
      <alignment horizontal="right" vertical="center" textRotation="0" wrapText="false" indent="0" shrinkToFit="false"/>
      <protection locked="false" hidden="false"/>
    </xf>
    <xf numFmtId="165" fontId="118" fillId="27" borderId="140" xfId="0" applyFont="true" applyBorder="true" applyAlignment="true" applyProtection="true">
      <alignment horizontal="right" vertical="center" textRotation="0" wrapText="false" indent="0" shrinkToFit="false"/>
      <protection locked="false" hidden="false"/>
    </xf>
    <xf numFmtId="165" fontId="122" fillId="0" borderId="94" xfId="0" applyFont="true" applyBorder="true" applyAlignment="true" applyProtection="false">
      <alignment horizontal="general" vertical="bottom" textRotation="0" wrapText="true" indent="0" shrinkToFit="false"/>
      <protection locked="true" hidden="false"/>
    </xf>
    <xf numFmtId="165" fontId="118" fillId="0" borderId="140" xfId="0" applyFont="true" applyBorder="true" applyAlignment="true" applyProtection="true">
      <alignment horizontal="right" vertical="center" textRotation="0" wrapText="false" indent="0" shrinkToFit="false"/>
      <protection locked="false" hidden="false"/>
    </xf>
    <xf numFmtId="165" fontId="128" fillId="0" borderId="121" xfId="0" applyFont="true" applyBorder="true" applyAlignment="true" applyProtection="false">
      <alignment horizontal="right" vertical="center" textRotation="0" wrapText="false" indent="0" shrinkToFit="false"/>
      <protection locked="true" hidden="false"/>
    </xf>
    <xf numFmtId="165" fontId="128" fillId="0" borderId="0" xfId="0" applyFont="true" applyBorder="true" applyAlignment="true" applyProtection="false">
      <alignment horizontal="right" vertical="center" textRotation="0" wrapText="false" indent="0" shrinkToFit="false"/>
      <protection locked="true" hidden="false"/>
    </xf>
    <xf numFmtId="165" fontId="137" fillId="0" borderId="0" xfId="0" applyFont="true" applyBorder="true" applyAlignment="true" applyProtection="false">
      <alignment horizontal="general" vertical="bottom" textRotation="0" wrapText="false" indent="0" shrinkToFit="false"/>
      <protection locked="true" hidden="false"/>
    </xf>
    <xf numFmtId="165" fontId="122" fillId="29" borderId="94" xfId="0" applyFont="true" applyBorder="true" applyAlignment="true" applyProtection="false">
      <alignment horizontal="center" vertical="center" textRotation="0" wrapText="true" indent="0" shrinkToFit="false"/>
      <protection locked="true" hidden="false"/>
    </xf>
    <xf numFmtId="165" fontId="120" fillId="29" borderId="141" xfId="0" applyFont="true" applyBorder="true" applyAlignment="true" applyProtection="false">
      <alignment horizontal="center" vertical="center" textRotation="0" wrapText="false" indent="0" shrinkToFit="false"/>
      <protection locked="true" hidden="false"/>
    </xf>
    <xf numFmtId="165" fontId="122" fillId="29" borderId="140" xfId="0" applyFont="true" applyBorder="true" applyAlignment="true" applyProtection="false">
      <alignment horizontal="center" vertical="center" textRotation="0" wrapText="true" indent="0" shrinkToFit="false"/>
      <protection locked="true" hidden="false"/>
    </xf>
    <xf numFmtId="165" fontId="118" fillId="29" borderId="142" xfId="0" applyFont="true" applyBorder="true" applyAlignment="true" applyProtection="false">
      <alignment horizontal="center" vertical="center" textRotation="0" wrapText="true" indent="0" shrinkToFit="false"/>
      <protection locked="true" hidden="false"/>
    </xf>
    <xf numFmtId="165" fontId="122" fillId="29" borderId="143" xfId="0" applyFont="true" applyBorder="true" applyAlignment="true" applyProtection="false">
      <alignment horizontal="center" vertical="center" textRotation="0" wrapText="true" indent="0" shrinkToFit="false"/>
      <protection locked="true" hidden="false"/>
    </xf>
    <xf numFmtId="165" fontId="122" fillId="29" borderId="144" xfId="0" applyFont="true" applyBorder="true" applyAlignment="true" applyProtection="false">
      <alignment horizontal="center" vertical="center" textRotation="0" wrapText="true" indent="0" shrinkToFit="false"/>
      <protection locked="true" hidden="false"/>
    </xf>
    <xf numFmtId="165" fontId="122" fillId="29" borderId="145" xfId="0" applyFont="true" applyBorder="true" applyAlignment="true" applyProtection="false">
      <alignment horizontal="center" vertical="center" textRotation="0" wrapText="true" indent="0" shrinkToFit="false"/>
      <protection locked="true" hidden="false"/>
    </xf>
    <xf numFmtId="165" fontId="122" fillId="29" borderId="146" xfId="0" applyFont="true" applyBorder="true" applyAlignment="true" applyProtection="false">
      <alignment horizontal="center" vertical="center" textRotation="0" wrapText="true" indent="0" shrinkToFit="false"/>
      <protection locked="true" hidden="false"/>
    </xf>
    <xf numFmtId="165" fontId="122" fillId="29" borderId="147" xfId="0" applyFont="true" applyBorder="true" applyAlignment="true" applyProtection="false">
      <alignment horizontal="center" vertical="center" textRotation="0" wrapText="true" indent="0" shrinkToFit="false"/>
      <protection locked="true" hidden="false"/>
    </xf>
    <xf numFmtId="165" fontId="122" fillId="29" borderId="148" xfId="0" applyFont="true" applyBorder="true" applyAlignment="true" applyProtection="false">
      <alignment horizontal="center" vertical="center" textRotation="0" wrapText="true" indent="0" shrinkToFit="false"/>
      <protection locked="true" hidden="false"/>
    </xf>
    <xf numFmtId="165" fontId="105" fillId="0" borderId="149" xfId="0" applyFont="true" applyBorder="true" applyAlignment="true" applyProtection="false">
      <alignment horizontal="center" vertical="bottom" textRotation="0" wrapText="false" indent="0" shrinkToFit="false"/>
      <protection locked="true" hidden="false"/>
    </xf>
    <xf numFmtId="165" fontId="122" fillId="0" borderId="32" xfId="0" applyFont="true" applyBorder="true" applyAlignment="true" applyProtection="true">
      <alignment horizontal="right" vertical="center" textRotation="0" wrapText="false" indent="0" shrinkToFit="false"/>
      <protection locked="false" hidden="false"/>
    </xf>
    <xf numFmtId="165" fontId="37" fillId="28" borderId="150" xfId="0" applyFont="true" applyBorder="true" applyAlignment="true" applyProtection="false">
      <alignment horizontal="right" vertical="center" textRotation="0" wrapText="false" indent="0" shrinkToFit="false"/>
      <protection locked="true" hidden="false"/>
    </xf>
    <xf numFmtId="165" fontId="37" fillId="28" borderId="151" xfId="0" applyFont="true" applyBorder="true" applyAlignment="true" applyProtection="false">
      <alignment horizontal="right" vertical="center" textRotation="0" wrapText="false" indent="0" shrinkToFit="false"/>
      <protection locked="true" hidden="false"/>
    </xf>
    <xf numFmtId="165" fontId="122" fillId="28" borderId="151" xfId="0" applyFont="true" applyBorder="true" applyAlignment="true" applyProtection="false">
      <alignment horizontal="right" vertical="center" textRotation="0" wrapText="true" indent="0" shrinkToFit="false"/>
      <protection locked="true" hidden="false"/>
    </xf>
    <xf numFmtId="165" fontId="37" fillId="28" borderId="152" xfId="0" applyFont="true" applyBorder="true" applyAlignment="true" applyProtection="false">
      <alignment horizontal="right" vertical="center" textRotation="0" wrapText="false" indent="0" shrinkToFit="false"/>
      <protection locked="true" hidden="false"/>
    </xf>
    <xf numFmtId="165" fontId="37" fillId="28" borderId="153" xfId="0" applyFont="true" applyBorder="true" applyAlignment="true" applyProtection="false">
      <alignment horizontal="right" vertical="center" textRotation="0" wrapText="false" indent="0" shrinkToFit="false"/>
      <protection locked="true" hidden="false"/>
    </xf>
    <xf numFmtId="165" fontId="37" fillId="28" borderId="127" xfId="0" applyFont="true" applyBorder="true" applyAlignment="true" applyProtection="false">
      <alignment horizontal="right" vertical="center" textRotation="0" wrapText="false" indent="0" shrinkToFit="false"/>
      <protection locked="true" hidden="false"/>
    </xf>
    <xf numFmtId="165" fontId="37" fillId="28" borderId="104" xfId="0" applyFont="true" applyBorder="true" applyAlignment="true" applyProtection="false">
      <alignment horizontal="right" vertical="center" textRotation="0" wrapText="false" indent="0" shrinkToFit="false"/>
      <protection locked="true" hidden="false"/>
    </xf>
    <xf numFmtId="165" fontId="122" fillId="27" borderId="149" xfId="0" applyFont="true" applyBorder="true" applyAlignment="true" applyProtection="true">
      <alignment horizontal="right" vertical="center" textRotation="0" wrapText="false" indent="0" shrinkToFit="false"/>
      <protection locked="false" hidden="false"/>
    </xf>
    <xf numFmtId="165" fontId="122" fillId="0" borderId="108" xfId="0" applyFont="true" applyBorder="true" applyAlignment="true" applyProtection="false">
      <alignment horizontal="center" vertical="bottom" textRotation="0" wrapText="false" indent="0" shrinkToFit="false"/>
      <protection locked="true" hidden="false"/>
    </xf>
    <xf numFmtId="165" fontId="122" fillId="0" borderId="111" xfId="0" applyFont="true" applyBorder="true" applyAlignment="true" applyProtection="true">
      <alignment horizontal="right" vertical="center" textRotation="0" wrapText="false" indent="0" shrinkToFit="false"/>
      <protection locked="false" hidden="false"/>
    </xf>
    <xf numFmtId="165" fontId="37" fillId="28" borderId="32" xfId="0" applyFont="true" applyBorder="true" applyAlignment="true" applyProtection="false">
      <alignment horizontal="right" vertical="center" textRotation="0" wrapText="false" indent="0" shrinkToFit="false"/>
      <protection locked="true" hidden="false"/>
    </xf>
    <xf numFmtId="165" fontId="122" fillId="27" borderId="108" xfId="0" applyFont="true" applyBorder="true" applyAlignment="true" applyProtection="true">
      <alignment horizontal="right" vertical="center" textRotation="0" wrapText="false" indent="0" shrinkToFit="false"/>
      <protection locked="false" hidden="false"/>
    </xf>
    <xf numFmtId="171" fontId="122" fillId="27" borderId="108" xfId="0" applyFont="true" applyBorder="true" applyAlignment="true" applyProtection="true">
      <alignment horizontal="right" vertical="center" textRotation="0" wrapText="false" indent="0" shrinkToFit="false"/>
      <protection locked="false" hidden="false"/>
    </xf>
    <xf numFmtId="165" fontId="105" fillId="0" borderId="108" xfId="0" applyFont="true" applyBorder="true" applyAlignment="true" applyProtection="false">
      <alignment horizontal="center" vertical="bottom" textRotation="0" wrapText="false" indent="0" shrinkToFit="false"/>
      <protection locked="true" hidden="false"/>
    </xf>
    <xf numFmtId="165" fontId="37" fillId="0" borderId="110" xfId="0" applyFont="true" applyBorder="true" applyAlignment="true" applyProtection="true">
      <alignment horizontal="right" vertical="center" textRotation="0" wrapText="false" indent="0" shrinkToFit="false"/>
      <protection locked="false" hidden="false"/>
    </xf>
    <xf numFmtId="165" fontId="37" fillId="0" borderId="13" xfId="0" applyFont="true" applyBorder="true" applyAlignment="true" applyProtection="true">
      <alignment horizontal="right" vertical="center" textRotation="0" wrapText="false" indent="0" shrinkToFit="false"/>
      <protection locked="false" hidden="false"/>
    </xf>
    <xf numFmtId="165" fontId="118" fillId="0" borderId="13" xfId="0" applyFont="true" applyBorder="true" applyAlignment="true" applyProtection="true">
      <alignment horizontal="right" vertical="center" textRotation="0" wrapText="true" indent="0" shrinkToFit="false"/>
      <protection locked="false" hidden="false"/>
    </xf>
    <xf numFmtId="165" fontId="37" fillId="0" borderId="14" xfId="0" applyFont="true" applyBorder="true" applyAlignment="true" applyProtection="true">
      <alignment horizontal="right" vertical="center" textRotation="0" wrapText="false" indent="0" shrinkToFit="false"/>
      <protection locked="false" hidden="false"/>
    </xf>
    <xf numFmtId="165" fontId="37" fillId="0" borderId="34" xfId="0" applyFont="true" applyBorder="true" applyAlignment="true" applyProtection="true">
      <alignment horizontal="right" vertical="center" textRotation="0" wrapText="false" indent="0" shrinkToFit="false"/>
      <protection locked="false" hidden="false"/>
    </xf>
    <xf numFmtId="165" fontId="37" fillId="0" borderId="106" xfId="0" applyFont="true" applyBorder="true" applyAlignment="true" applyProtection="true">
      <alignment horizontal="right" vertical="center" textRotation="0" wrapText="false" indent="0" shrinkToFit="false"/>
      <protection locked="false" hidden="false"/>
    </xf>
    <xf numFmtId="165" fontId="122" fillId="0" borderId="108" xfId="0" applyFont="true" applyBorder="true" applyAlignment="true" applyProtection="true">
      <alignment horizontal="center" vertical="bottom" textRotation="0" wrapText="true" indent="0" shrinkToFit="false"/>
      <protection locked="false" hidden="false"/>
    </xf>
    <xf numFmtId="165" fontId="122" fillId="0" borderId="47" xfId="0" applyFont="true" applyBorder="true" applyAlignment="true" applyProtection="true">
      <alignment horizontal="right" vertical="center" textRotation="0" wrapText="false" indent="0" shrinkToFit="false"/>
      <protection locked="false" hidden="false"/>
    </xf>
    <xf numFmtId="165" fontId="37" fillId="0" borderId="154" xfId="0" applyFont="true" applyBorder="true" applyAlignment="true" applyProtection="true">
      <alignment horizontal="right" vertical="center" textRotation="0" wrapText="false" indent="0" shrinkToFit="false"/>
      <protection locked="false" hidden="false"/>
    </xf>
    <xf numFmtId="165" fontId="37" fillId="0" borderId="15" xfId="0" applyFont="true" applyBorder="true" applyAlignment="true" applyProtection="true">
      <alignment horizontal="right" vertical="center" textRotation="0" wrapText="false" indent="0" shrinkToFit="false"/>
      <protection locked="false" hidden="false"/>
    </xf>
    <xf numFmtId="165" fontId="37" fillId="0" borderId="16" xfId="0" applyFont="true" applyBorder="true" applyAlignment="true" applyProtection="true">
      <alignment horizontal="right" vertical="center" textRotation="0" wrapText="false" indent="0" shrinkToFit="false"/>
      <protection locked="false" hidden="false"/>
    </xf>
    <xf numFmtId="165" fontId="37" fillId="0" borderId="119" xfId="0" applyFont="true" applyBorder="true" applyAlignment="true" applyProtection="true">
      <alignment horizontal="right" vertical="center" textRotation="0" wrapText="false" indent="0" shrinkToFit="false"/>
      <protection locked="false" hidden="false"/>
    </xf>
    <xf numFmtId="165" fontId="37" fillId="0" borderId="100" xfId="0" applyFont="true" applyBorder="true" applyAlignment="true" applyProtection="true">
      <alignment horizontal="right" vertical="center" textRotation="0" wrapText="false" indent="0" shrinkToFit="false"/>
      <protection locked="false" hidden="false"/>
    </xf>
    <xf numFmtId="165" fontId="37" fillId="0" borderId="155" xfId="0" applyFont="true" applyBorder="true" applyAlignment="true" applyProtection="true">
      <alignment horizontal="right" vertical="center" textRotation="0" wrapText="false" indent="0" shrinkToFit="false"/>
      <protection locked="false" hidden="false"/>
    </xf>
    <xf numFmtId="165" fontId="122" fillId="27" borderId="156" xfId="0" applyFont="true" applyBorder="true" applyAlignment="true" applyProtection="true">
      <alignment horizontal="right" vertical="center" textRotation="0" wrapText="false" indent="0" shrinkToFit="false"/>
      <protection locked="false" hidden="false"/>
    </xf>
    <xf numFmtId="165" fontId="122" fillId="29" borderId="129" xfId="0" applyFont="true" applyBorder="true" applyAlignment="true" applyProtection="false">
      <alignment horizontal="center" vertical="bottom" textRotation="0" wrapText="false" indent="0" shrinkToFit="false"/>
      <protection locked="true" hidden="false"/>
    </xf>
    <xf numFmtId="165" fontId="122" fillId="27" borderId="93" xfId="0" applyFont="true" applyBorder="true" applyAlignment="true" applyProtection="true">
      <alignment horizontal="right" vertical="center" textRotation="0" wrapText="false" indent="0" shrinkToFit="false"/>
      <protection locked="false" hidden="false"/>
    </xf>
    <xf numFmtId="165" fontId="122" fillId="27" borderId="124" xfId="0" applyFont="true" applyBorder="true" applyAlignment="true" applyProtection="true">
      <alignment horizontal="right" vertical="center" textRotation="0" wrapText="false" indent="0" shrinkToFit="false"/>
      <protection locked="false" hidden="false"/>
    </xf>
    <xf numFmtId="165" fontId="122" fillId="27" borderId="123" xfId="0" applyFont="true" applyBorder="true" applyAlignment="true" applyProtection="true">
      <alignment horizontal="right" vertical="center" textRotation="0" wrapText="false" indent="0" shrinkToFit="false"/>
      <protection locked="false" hidden="false"/>
    </xf>
    <xf numFmtId="165" fontId="122" fillId="27" borderId="125" xfId="0" applyFont="true" applyBorder="true" applyAlignment="true" applyProtection="true">
      <alignment horizontal="right" vertical="center" textRotation="0" wrapText="false" indent="0" shrinkToFit="false"/>
      <protection locked="false" hidden="false"/>
    </xf>
    <xf numFmtId="165" fontId="122" fillId="27" borderId="140" xfId="0" applyFont="true" applyBorder="true" applyAlignment="true" applyProtection="true">
      <alignment horizontal="right" vertical="center" textRotation="0" wrapText="false" indent="0" shrinkToFit="false"/>
      <protection locked="false" hidden="false"/>
    </xf>
    <xf numFmtId="165" fontId="37" fillId="0" borderId="121" xfId="0" applyFont="true" applyBorder="true" applyAlignment="true" applyProtection="false">
      <alignment horizontal="right" vertical="center" textRotation="0" wrapText="false" indent="0" shrinkToFit="false"/>
      <protection locked="true" hidden="false"/>
    </xf>
    <xf numFmtId="165" fontId="37" fillId="0" borderId="127" xfId="0" applyFont="true" applyBorder="true" applyAlignment="true" applyProtection="false">
      <alignment horizontal="right" vertical="center" textRotation="0" wrapText="false" indent="0" shrinkToFit="false"/>
      <protection locked="true" hidden="false"/>
    </xf>
    <xf numFmtId="165" fontId="122" fillId="0" borderId="127" xfId="0" applyFont="true" applyBorder="true" applyAlignment="true" applyProtection="false">
      <alignment horizontal="justify" vertical="bottom" textRotation="0" wrapText="false" indent="0" shrinkToFit="false"/>
      <protection locked="true" hidden="false"/>
    </xf>
    <xf numFmtId="165" fontId="122" fillId="0" borderId="0" xfId="0" applyFont="true" applyBorder="true" applyAlignment="true" applyProtection="false">
      <alignment horizontal="justify" vertical="bottom" textRotation="0" wrapText="false" indent="0" shrinkToFit="false"/>
      <protection locked="true" hidden="false"/>
    </xf>
    <xf numFmtId="165" fontId="37" fillId="0" borderId="127" xfId="0" applyFont="true" applyBorder="true" applyAlignment="true" applyProtection="false">
      <alignment horizontal="general" vertical="bottom" textRotation="0" wrapText="false" indent="0" shrinkToFit="false"/>
      <protection locked="true" hidden="false"/>
    </xf>
    <xf numFmtId="165" fontId="37" fillId="0" borderId="127" xfId="0" applyFont="true" applyBorder="true" applyAlignment="true" applyProtection="false">
      <alignment horizontal="general" vertical="bottom" textRotation="0" wrapText="false" indent="0" shrinkToFit="false"/>
      <protection locked="true" hidden="false"/>
    </xf>
    <xf numFmtId="165" fontId="120" fillId="0" borderId="0" xfId="0" applyFont="true" applyBorder="true" applyAlignment="true" applyProtection="false">
      <alignment horizontal="left" vertical="bottom" textRotation="0" wrapText="false" indent="0" shrinkToFit="false"/>
      <protection locked="true" hidden="false"/>
    </xf>
    <xf numFmtId="165" fontId="137" fillId="0" borderId="0" xfId="0" applyFont="true" applyBorder="true" applyAlignment="true" applyProtection="false">
      <alignment horizontal="left" vertical="bottom" textRotation="0" wrapText="false" indent="0" shrinkToFit="false"/>
      <protection locked="true" hidden="false"/>
    </xf>
    <xf numFmtId="165" fontId="37" fillId="0" borderId="0" xfId="0" applyFont="true" applyBorder="true" applyAlignment="true" applyProtection="false">
      <alignment horizontal="left" vertical="bottom" textRotation="0" wrapText="false" indent="0" shrinkToFit="false"/>
      <protection locked="true" hidden="false"/>
    </xf>
    <xf numFmtId="165" fontId="42" fillId="0" borderId="0" xfId="0" applyFont="true" applyBorder="true" applyAlignment="true" applyProtection="false">
      <alignment horizontal="general" vertical="top" textRotation="0" wrapText="true" indent="0" shrinkToFit="false"/>
      <protection locked="true" hidden="false"/>
    </xf>
    <xf numFmtId="165" fontId="118" fillId="29" borderId="157" xfId="0" applyFont="true" applyBorder="true" applyAlignment="true" applyProtection="false">
      <alignment horizontal="center" vertical="center" textRotation="0" wrapText="true" indent="0" shrinkToFit="false"/>
      <protection locked="true" hidden="false"/>
    </xf>
    <xf numFmtId="165" fontId="122" fillId="29" borderId="158" xfId="0" applyFont="true" applyBorder="true" applyAlignment="true" applyProtection="false">
      <alignment horizontal="center" vertical="center" textRotation="0" wrapText="true" indent="0" shrinkToFit="false"/>
      <protection locked="true" hidden="false"/>
    </xf>
    <xf numFmtId="165" fontId="105" fillId="0" borderId="149" xfId="0" applyFont="true" applyBorder="true" applyAlignment="true" applyProtection="false">
      <alignment horizontal="center" vertical="center" textRotation="0" wrapText="false" indent="0" shrinkToFit="false"/>
      <protection locked="true" hidden="false"/>
    </xf>
    <xf numFmtId="165" fontId="122" fillId="0" borderId="149" xfId="0" applyFont="true" applyBorder="true" applyAlignment="true" applyProtection="true">
      <alignment horizontal="center" vertical="center" textRotation="0" wrapText="false" indent="0" shrinkToFit="false"/>
      <protection locked="false" hidden="false"/>
    </xf>
    <xf numFmtId="165" fontId="139" fillId="0" borderId="33" xfId="0" applyFont="true" applyBorder="true" applyAlignment="true" applyProtection="true">
      <alignment horizontal="center" vertical="center" textRotation="0" wrapText="false" indent="0" shrinkToFit="false"/>
      <protection locked="false" hidden="false"/>
    </xf>
    <xf numFmtId="165" fontId="139" fillId="0" borderId="22" xfId="0" applyFont="true" applyBorder="true" applyAlignment="true" applyProtection="true">
      <alignment horizontal="center" vertical="center" textRotation="0" wrapText="false" indent="0" shrinkToFit="false"/>
      <protection locked="false" hidden="false"/>
    </xf>
    <xf numFmtId="165" fontId="140" fillId="0" borderId="22" xfId="0" applyFont="true" applyBorder="true" applyAlignment="true" applyProtection="true">
      <alignment horizontal="center" vertical="center" textRotation="0" wrapText="true" indent="0" shrinkToFit="false"/>
      <protection locked="false" hidden="false"/>
    </xf>
    <xf numFmtId="165" fontId="139" fillId="0" borderId="23" xfId="0" applyFont="true" applyBorder="true" applyAlignment="true" applyProtection="true">
      <alignment horizontal="center" vertical="center" textRotation="0" wrapText="false" indent="0" shrinkToFit="false"/>
      <protection locked="false" hidden="false"/>
    </xf>
    <xf numFmtId="165" fontId="139" fillId="0" borderId="97" xfId="0" applyFont="true" applyBorder="true" applyAlignment="true" applyProtection="true">
      <alignment horizontal="center" vertical="center" textRotation="0" wrapText="false" indent="0" shrinkToFit="false"/>
      <protection locked="false" hidden="false"/>
    </xf>
    <xf numFmtId="165" fontId="122" fillId="27" borderId="149" xfId="0" applyFont="true" applyBorder="true" applyAlignment="true" applyProtection="true">
      <alignment horizontal="center" vertical="center" textRotation="0" wrapText="false" indent="0" shrinkToFit="false"/>
      <protection locked="false" hidden="false"/>
    </xf>
    <xf numFmtId="165" fontId="122" fillId="27" borderId="159" xfId="0" applyFont="true" applyBorder="true" applyAlignment="true" applyProtection="true">
      <alignment horizontal="center" vertical="center" textRotation="0" wrapText="false" indent="0" shrinkToFit="false"/>
      <protection locked="false" hidden="false"/>
    </xf>
    <xf numFmtId="165" fontId="42" fillId="0" borderId="0" xfId="0" applyFont="true" applyBorder="true" applyAlignment="true" applyProtection="false">
      <alignment horizontal="center" vertical="top" textRotation="0" wrapText="true" indent="0" shrinkToFit="false"/>
      <protection locked="true" hidden="false"/>
    </xf>
    <xf numFmtId="165" fontId="122" fillId="0" borderId="108" xfId="0" applyFont="true" applyBorder="true" applyAlignment="true" applyProtection="false">
      <alignment horizontal="center" vertical="center" textRotation="0" wrapText="false" indent="0" shrinkToFit="false"/>
      <protection locked="true" hidden="false"/>
    </xf>
    <xf numFmtId="165" fontId="122" fillId="0" borderId="108" xfId="0" applyFont="true" applyBorder="true" applyAlignment="true" applyProtection="true">
      <alignment horizontal="right" vertical="center" textRotation="0" wrapText="false" indent="0" shrinkToFit="false"/>
      <protection locked="false" hidden="false"/>
    </xf>
    <xf numFmtId="165" fontId="139" fillId="0" borderId="34" xfId="0" applyFont="true" applyBorder="true" applyAlignment="true" applyProtection="true">
      <alignment horizontal="right" vertical="center" textRotation="0" wrapText="false" indent="0" shrinkToFit="false"/>
      <protection locked="false" hidden="false"/>
    </xf>
    <xf numFmtId="165" fontId="139" fillId="0" borderId="13" xfId="0" applyFont="true" applyBorder="true" applyAlignment="true" applyProtection="true">
      <alignment horizontal="right" vertical="center" textRotation="0" wrapText="false" indent="0" shrinkToFit="false"/>
      <protection locked="false" hidden="false"/>
    </xf>
    <xf numFmtId="165" fontId="140" fillId="0" borderId="13" xfId="0" applyFont="true" applyBorder="true" applyAlignment="true" applyProtection="true">
      <alignment horizontal="right" vertical="center" textRotation="0" wrapText="true" indent="0" shrinkToFit="false"/>
      <protection locked="false" hidden="false"/>
    </xf>
    <xf numFmtId="165" fontId="139" fillId="0" borderId="14" xfId="0" applyFont="true" applyBorder="true" applyAlignment="true" applyProtection="true">
      <alignment horizontal="right" vertical="center" textRotation="0" wrapText="false" indent="0" shrinkToFit="false"/>
      <protection locked="false" hidden="false"/>
    </xf>
    <xf numFmtId="165" fontId="139" fillId="0" borderId="107" xfId="0" applyFont="true" applyBorder="true" applyAlignment="true" applyProtection="true">
      <alignment horizontal="right" vertical="center" textRotation="0" wrapText="false" indent="0" shrinkToFit="false"/>
      <protection locked="false" hidden="false"/>
    </xf>
    <xf numFmtId="165" fontId="122" fillId="27" borderId="106" xfId="0" applyFont="true" applyBorder="true" applyAlignment="true" applyProtection="true">
      <alignment horizontal="right" vertical="center" textRotation="0" wrapText="false" indent="0" shrinkToFit="false"/>
      <protection locked="false" hidden="false"/>
    </xf>
    <xf numFmtId="165" fontId="42" fillId="0" borderId="0" xfId="0" applyFont="true" applyBorder="true" applyAlignment="true" applyProtection="false">
      <alignment horizontal="general" vertical="center" textRotation="0" wrapText="true" indent="0" shrinkToFit="false"/>
      <protection locked="true" hidden="false"/>
    </xf>
    <xf numFmtId="165" fontId="122" fillId="0" borderId="108" xfId="0" applyFont="true" applyBorder="true" applyAlignment="true" applyProtection="true">
      <alignment horizontal="center" vertical="center" textRotation="0" wrapText="true" indent="0" shrinkToFit="false"/>
      <protection locked="false" hidden="false"/>
    </xf>
    <xf numFmtId="165" fontId="37" fillId="0" borderId="156" xfId="0" applyFont="true" applyBorder="true" applyAlignment="true" applyProtection="true">
      <alignment horizontal="right" vertical="center" textRotation="0" wrapText="false" indent="0" shrinkToFit="false"/>
      <protection locked="false" hidden="false"/>
    </xf>
    <xf numFmtId="165" fontId="37" fillId="0" borderId="160" xfId="0" applyFont="true" applyBorder="true" applyAlignment="true" applyProtection="true">
      <alignment horizontal="right" vertical="center" textRotation="0" wrapText="false" indent="0" shrinkToFit="false"/>
      <protection locked="false" hidden="false"/>
    </xf>
    <xf numFmtId="165" fontId="122" fillId="27" borderId="138" xfId="0" applyFont="true" applyBorder="true" applyAlignment="true" applyProtection="true">
      <alignment horizontal="right" vertical="center" textRotation="0" wrapText="false" indent="0" shrinkToFit="false"/>
      <protection locked="false" hidden="false"/>
    </xf>
    <xf numFmtId="165" fontId="122" fillId="0" borderId="129" xfId="0" applyFont="true" applyBorder="true" applyAlignment="true" applyProtection="false">
      <alignment horizontal="center" vertical="center" textRotation="0" wrapText="false" indent="0" shrinkToFit="false"/>
      <protection locked="true" hidden="false"/>
    </xf>
    <xf numFmtId="165" fontId="122" fillId="27" borderId="94" xfId="0" applyFont="true" applyBorder="true" applyAlignment="true" applyProtection="true">
      <alignment horizontal="right" vertical="center" textRotation="0" wrapText="false" indent="0" shrinkToFit="false"/>
      <protection locked="false" hidden="false"/>
    </xf>
    <xf numFmtId="165" fontId="37" fillId="0" borderId="117" xfId="0" applyFont="true" applyBorder="true" applyAlignment="true" applyProtection="false">
      <alignment horizontal="right" vertical="center" textRotation="0" wrapText="false" indent="0" shrinkToFit="false"/>
      <protection locked="true" hidden="false"/>
    </xf>
    <xf numFmtId="165" fontId="141" fillId="0" borderId="127" xfId="0" applyFont="true" applyBorder="true" applyAlignment="true" applyProtection="false">
      <alignment horizontal="justify" vertical="bottom" textRotation="0" wrapText="false" indent="0" shrinkToFit="false"/>
      <protection locked="true" hidden="false"/>
    </xf>
    <xf numFmtId="165" fontId="76" fillId="0" borderId="127" xfId="0" applyFont="true" applyBorder="true" applyAlignment="true" applyProtection="false">
      <alignment horizontal="justify" vertical="bottom" textRotation="0" wrapText="false" indent="0" shrinkToFit="false"/>
      <protection locked="true" hidden="false"/>
    </xf>
    <xf numFmtId="165" fontId="141" fillId="0" borderId="0" xfId="0" applyFont="true" applyBorder="true" applyAlignment="true" applyProtection="false">
      <alignment horizontal="justify" vertical="bottom" textRotation="0" wrapText="false" indent="0" shrinkToFit="false"/>
      <protection locked="true" hidden="false"/>
    </xf>
    <xf numFmtId="165" fontId="142" fillId="0" borderId="0" xfId="23" applyFont="true" applyBorder="true" applyAlignment="true" applyProtection="true">
      <alignment horizontal="left" vertical="center" textRotation="0" wrapText="true" indent="0" shrinkToFit="false"/>
      <protection locked="true" hidden="false"/>
    </xf>
    <xf numFmtId="165" fontId="143" fillId="0" borderId="0" xfId="0" applyFont="true" applyBorder="true" applyAlignment="true" applyProtection="false">
      <alignment horizontal="general" vertical="center" textRotation="0" wrapText="false" indent="0" shrinkToFit="false"/>
      <protection locked="true" hidden="false"/>
    </xf>
    <xf numFmtId="165" fontId="143" fillId="0" borderId="0" xfId="0" applyFont="true" applyBorder="true" applyAlignment="true" applyProtection="false">
      <alignment horizontal="left" vertical="center" textRotation="0" wrapText="false" indent="0" shrinkToFit="false"/>
      <protection locked="true" hidden="false"/>
    </xf>
    <xf numFmtId="165" fontId="144" fillId="0" borderId="0" xfId="0" applyFont="true" applyBorder="true" applyAlignment="true" applyProtection="false">
      <alignment horizontal="left" vertical="center" textRotation="0" wrapText="true" indent="0" shrinkToFit="false"/>
      <protection locked="true" hidden="false"/>
    </xf>
    <xf numFmtId="165" fontId="145" fillId="0" borderId="0" xfId="0" applyFont="true" applyBorder="true" applyAlignment="true" applyProtection="false">
      <alignment horizontal="general" vertical="bottom" textRotation="0" wrapText="false" indent="0" shrinkToFit="false"/>
      <protection locked="true" hidden="false"/>
    </xf>
    <xf numFmtId="165" fontId="146" fillId="0" borderId="0" xfId="23" applyFont="true" applyBorder="true" applyAlignment="true" applyProtection="true">
      <alignment horizontal="left" vertical="bottom" textRotation="0" wrapText="false" indent="0" shrinkToFit="false"/>
      <protection locked="true" hidden="false"/>
    </xf>
    <xf numFmtId="165" fontId="118" fillId="0" borderId="27" xfId="0" applyFont="true" applyBorder="true" applyAlignment="true" applyProtection="true">
      <alignment horizontal="right" vertical="center" textRotation="0" wrapText="false" indent="0" shrinkToFit="false"/>
      <protection locked="false" hidden="false"/>
    </xf>
    <xf numFmtId="174" fontId="118" fillId="27" borderId="8" xfId="0" applyFont="true" applyBorder="true" applyAlignment="true" applyProtection="true">
      <alignment horizontal="right" vertical="center" textRotation="0" wrapText="false" indent="0" shrinkToFit="false"/>
      <protection locked="false" hidden="false"/>
    </xf>
    <xf numFmtId="174" fontId="118" fillId="27" borderId="17" xfId="0" applyFont="true" applyBorder="true" applyAlignment="true" applyProtection="true">
      <alignment horizontal="right" vertical="center" textRotation="0" wrapText="false" indent="0" shrinkToFit="false"/>
      <protection locked="false" hidden="false"/>
    </xf>
    <xf numFmtId="165" fontId="118" fillId="27" borderId="161" xfId="0" applyFont="true" applyBorder="true" applyAlignment="true" applyProtection="true">
      <alignment horizontal="right" vertical="center" textRotation="0" wrapText="false" indent="0" shrinkToFit="false"/>
      <protection locked="false" hidden="false"/>
    </xf>
    <xf numFmtId="174" fontId="118" fillId="27" borderId="130" xfId="0" applyFont="true" applyBorder="true" applyAlignment="true" applyProtection="true">
      <alignment horizontal="right" vertical="center" textRotation="0" wrapText="false" indent="0" shrinkToFit="false"/>
      <protection locked="false" hidden="false"/>
    </xf>
    <xf numFmtId="174" fontId="37" fillId="27" borderId="130" xfId="0" applyFont="true" applyBorder="true" applyAlignment="true" applyProtection="true">
      <alignment horizontal="right" vertical="center" textRotation="0" wrapText="false" indent="0" shrinkToFit="false"/>
      <protection locked="false" hidden="false"/>
    </xf>
    <xf numFmtId="165" fontId="118" fillId="27" borderId="133" xfId="0" applyFont="true" applyBorder="true" applyAlignment="true" applyProtection="true">
      <alignment horizontal="right" vertical="center" textRotation="0" wrapText="false" indent="0" shrinkToFit="false"/>
      <protection locked="false" hidden="false"/>
    </xf>
    <xf numFmtId="174" fontId="77" fillId="27" borderId="123" xfId="0" applyFont="true" applyBorder="true" applyAlignment="true" applyProtection="true">
      <alignment horizontal="right" vertical="center" textRotation="0" wrapText="false" indent="0" shrinkToFit="false"/>
      <protection locked="false" hidden="false"/>
    </xf>
    <xf numFmtId="165" fontId="122" fillId="27" borderId="139" xfId="0" applyFont="true" applyBorder="true" applyAlignment="true" applyProtection="true">
      <alignment horizontal="right" vertical="center" textRotation="0" wrapText="false" indent="0" shrinkToFit="false"/>
      <protection locked="false" hidden="false"/>
    </xf>
    <xf numFmtId="174" fontId="118" fillId="27" borderId="162" xfId="0" applyFont="true" applyBorder="true" applyAlignment="true" applyProtection="true">
      <alignment horizontal="right" vertical="center" textRotation="0" wrapText="false" indent="0" shrinkToFit="false"/>
      <protection locked="false" hidden="false"/>
    </xf>
    <xf numFmtId="174" fontId="118" fillId="20" borderId="136" xfId="0" applyFont="true" applyBorder="true" applyAlignment="true" applyProtection="true">
      <alignment horizontal="right" vertical="center" textRotation="0" wrapText="false" indent="0" shrinkToFit="false"/>
      <protection locked="false" hidden="false"/>
    </xf>
    <xf numFmtId="174" fontId="118" fillId="0" borderId="156" xfId="0" applyFont="true" applyBorder="true" applyAlignment="true" applyProtection="true">
      <alignment horizontal="right" vertical="center" textRotation="0" wrapText="false" indent="0" shrinkToFit="false"/>
      <protection locked="false" hidden="false"/>
    </xf>
    <xf numFmtId="174" fontId="118" fillId="27" borderId="122" xfId="0" applyFont="true" applyBorder="true" applyAlignment="true" applyProtection="true">
      <alignment horizontal="right" vertical="center" textRotation="0" wrapText="false" indent="0" shrinkToFit="false"/>
      <protection locked="false" hidden="false"/>
    </xf>
    <xf numFmtId="174" fontId="118" fillId="27" borderId="139" xfId="0" applyFont="true" applyBorder="true" applyAlignment="true" applyProtection="true">
      <alignment horizontal="right" vertical="center" textRotation="0" wrapText="false" indent="0" shrinkToFit="false"/>
      <protection locked="false" hidden="false"/>
    </xf>
    <xf numFmtId="174" fontId="118" fillId="27" borderId="140" xfId="0" applyFont="true" applyBorder="true" applyAlignment="true" applyProtection="true">
      <alignment horizontal="right" vertical="center" textRotation="0" wrapText="false" indent="0" shrinkToFit="false"/>
      <protection locked="false" hidden="false"/>
    </xf>
    <xf numFmtId="165" fontId="122" fillId="27" borderId="163" xfId="0" applyFont="true" applyBorder="true" applyAlignment="true" applyProtection="true">
      <alignment horizontal="right" vertical="center" textRotation="0" wrapText="false" indent="0" shrinkToFit="false"/>
      <protection locked="false" hidden="false"/>
    </xf>
    <xf numFmtId="165" fontId="122" fillId="27" borderId="126" xfId="0" applyFont="true" applyBorder="true" applyAlignment="true" applyProtection="true">
      <alignment horizontal="right" vertical="center" textRotation="0" wrapText="false" indent="0" shrinkToFit="false"/>
      <protection locked="false" hidden="false"/>
    </xf>
  </cellXfs>
  <cellStyles count="20">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Estilo 1" xfId="21" builtinId="53" customBuiltin="true"/>
    <cellStyle name="Hipervínculo 2" xfId="22" builtinId="53" customBuiltin="true"/>
    <cellStyle name="Hipervínculo 3" xfId="23" builtinId="53" customBuiltin="true"/>
    <cellStyle name="Millares [0] 2" xfId="24" builtinId="53" customBuiltin="true"/>
    <cellStyle name="Normal 2" xfId="25" builtinId="53" customBuiltin="true"/>
    <cellStyle name="Normal 3" xfId="26" builtinId="53" customBuiltin="true"/>
    <cellStyle name="Normal 3 2" xfId="27" builtinId="53" customBuiltin="true"/>
    <cellStyle name="Normal 4" xfId="28" builtinId="53" customBuiltin="true"/>
    <cellStyle name="Normal 4 2" xfId="29" builtinId="53" customBuiltin="true"/>
    <cellStyle name="Normal 5" xfId="30" builtinId="53" customBuiltin="true"/>
    <cellStyle name="Normal_Hoja1" xfId="31" builtinId="53" customBuiltin="true"/>
    <cellStyle name="Porcentual 2" xfId="32" builtinId="53" customBuiltin="true"/>
    <cellStyle name="Porcentual 3" xfId="33" builtinId="53" customBuiltin="true"/>
    <cellStyle name="*unknown*" xfId="20" builtinId="8" customBuiltin="false"/>
  </cellStyles>
  <dxfs count="12">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0"/>
      </font>
      <numFmt numFmtId="164" formatCode="0\ %"/>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
      <font>
        <name val="Arial"/>
        <charset val="1"/>
        <family val="2"/>
        <b val="0"/>
        <i val="0"/>
        <strike val="0"/>
        <outline val="0"/>
        <shadow val="0"/>
        <color rgb="FF0000FF"/>
        <u val="single"/>
      </font>
    </dxf>
  </dxfs>
  <colors>
    <indexedColors>
      <rgbColor rgb="FF000000"/>
      <rgbColor rgb="FFFFFFFF"/>
      <rgbColor rgb="FFFF0000"/>
      <rgbColor rgb="FF00B050"/>
      <rgbColor rgb="FF0000FF"/>
      <rgbColor rgb="FFFFFF00"/>
      <rgbColor rgb="FFFFC7CE"/>
      <rgbColor rgb="FF4199B0"/>
      <rgbColor rgb="FF9C0006"/>
      <rgbColor rgb="FF008000"/>
      <rgbColor rgb="FFF2DCDB"/>
      <rgbColor rgb="FF89A64E"/>
      <rgbColor rgb="FFDC853D"/>
      <rgbColor rgb="FF00697A"/>
      <rgbColor rgb="FFC0C0C0"/>
      <rgbColor rgb="FF808080"/>
      <rgbColor rgb="FF95A7CD"/>
      <rgbColor rgb="FFAB4642"/>
      <rgbColor rgb="FFEBF1DE"/>
      <rgbColor rgb="FFCCFFFF"/>
      <rgbColor rgb="FF92D050"/>
      <rgbColor rgb="FFD99694"/>
      <rgbColor rgb="FF0070C0"/>
      <rgbColor rgb="FFCCC1DA"/>
      <rgbColor rgb="FFF2F2F2"/>
      <rgbColor rgb="FFD9D9D9"/>
      <rgbColor rgb="FFC3D69B"/>
      <rgbColor rgb="FFB7DEE8"/>
      <rgbColor rgb="FF9BBB59"/>
      <rgbColor rgb="FFC00000"/>
      <rgbColor rgb="FF37849B"/>
      <rgbColor rgb="FFDDD9C3"/>
      <rgbColor rgb="FF4AACC8"/>
      <rgbColor rgb="FFDCE6F2"/>
      <rgbColor rgb="FFC6EFCE"/>
      <rgbColor rgb="FFFDEADA"/>
      <rgbColor rgb="FF8EB4E3"/>
      <rgbColor rgb="FFD09493"/>
      <rgbColor rgb="FF95B3D7"/>
      <rgbColor rgb="FFFAC090"/>
      <rgbColor rgb="FF3366FF"/>
      <rgbColor rgb="FF33CCCC"/>
      <rgbColor rgb="FF99CC00"/>
      <rgbColor rgb="FFFFC000"/>
      <rgbColor rgb="FFF79645"/>
      <rgbColor rgb="FFF36B04"/>
      <rgbColor rgb="FF8064A2"/>
      <rgbColor rgb="FF878787"/>
      <rgbColor rgb="FF003366"/>
      <rgbColor rgb="FF31849B"/>
      <rgbColor rgb="FF006100"/>
      <rgbColor rgb="FF4F81BD"/>
      <rgbColor rgb="FFC0504D"/>
      <rgbColor rgb="FF714A92"/>
      <rgbColor rgb="FF4571A8"/>
      <rgbColor rgb="FF4A7EBB"/>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externalLink" Target="externalLinks/externalLink3.xml"/><Relationship Id="rId32" Type="http://schemas.openxmlformats.org/officeDocument/2006/relationships/externalLink" Target="externalLinks/externalLink4.xml"/><Relationship Id="rId33"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 MUNICIPI'!$A$29</c:f>
              <c:strCache>
                <c:ptCount val="1"/>
                <c:pt idx="0">
                  <c:v>EE</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MUNICIPI'!$B$29:$G$29</c:f>
              <c:numCache>
                <c:formatCode>General</c:formatCode>
                <c:ptCount val="6"/>
                <c:pt idx="0">
                  <c:v>77626</c:v>
                </c:pt>
                <c:pt idx="1">
                  <c:v>80344</c:v>
                </c:pt>
                <c:pt idx="2">
                  <c:v>81884</c:v>
                </c:pt>
                <c:pt idx="3">
                  <c:v>81339</c:v>
                </c:pt>
                <c:pt idx="4">
                  <c:v>81135</c:v>
                </c:pt>
                <c:pt idx="5">
                  <c:v>82648.101</c:v>
                </c:pt>
              </c:numCache>
            </c:numRef>
          </c:val>
          <c:smooth val="0"/>
        </c:ser>
        <c:ser>
          <c:idx val="1"/>
          <c:order val="1"/>
          <c:tx>
            <c:strRef>
              <c:f>'T. MUNICIPI'!$A$30</c:f>
              <c:strCache>
                <c:ptCount val="1"/>
                <c:pt idx="0">
                  <c:v>GLP</c:v>
                </c:pt>
              </c:strCache>
            </c:strRef>
          </c:tx>
          <c:spPr>
            <a:solidFill>
              <a:srgbClr val="7030a0"/>
            </a:solidFill>
            <a:ln w="28440">
              <a:solidFill>
                <a:srgbClr val="7030a0"/>
              </a:solidFill>
              <a:round/>
            </a:ln>
          </c:spPr>
          <c:marker>
            <c:symbol val="none"/>
          </c:marker>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MUNICIPI'!$B$30:$G$30</c:f>
              <c:numCache>
                <c:formatCode>General</c:formatCode>
                <c:ptCount val="6"/>
                <c:pt idx="0">
                  <c:v>10915.2620358363</c:v>
                </c:pt>
                <c:pt idx="1">
                  <c:v>10297.457773473</c:v>
                </c:pt>
                <c:pt idx="2">
                  <c:v>9625.91295145444</c:v>
                </c:pt>
                <c:pt idx="3">
                  <c:v>9352.13965551199</c:v>
                </c:pt>
                <c:pt idx="4">
                  <c:v>8774.68646192605</c:v>
                </c:pt>
                <c:pt idx="5">
                  <c:v>8074.83766101786</c:v>
                </c:pt>
              </c:numCache>
            </c:numRef>
          </c:val>
          <c:smooth val="0"/>
        </c:ser>
        <c:ser>
          <c:idx val="2"/>
          <c:order val="2"/>
          <c:tx>
            <c:strRef>
              <c:f>'T. MUNICIPI'!$A$31</c:f>
              <c:strCache>
                <c:ptCount val="1"/>
                <c:pt idx="0">
                  <c:v>Gasoil</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MUNICIPI'!$B$31:$G$31</c:f>
              <c:numCache>
                <c:formatCode>General</c:formatCode>
                <c:ptCount val="6"/>
                <c:pt idx="0">
                  <c:v>115615.236808395</c:v>
                </c:pt>
                <c:pt idx="1">
                  <c:v>129725.929083126</c:v>
                </c:pt>
                <c:pt idx="2">
                  <c:v>139696.02406731</c:v>
                </c:pt>
                <c:pt idx="3">
                  <c:v>130189.149297179</c:v>
                </c:pt>
                <c:pt idx="4">
                  <c:v>121405.918672692</c:v>
                </c:pt>
                <c:pt idx="5">
                  <c:v>107430.936010273</c:v>
                </c:pt>
              </c:numCache>
            </c:numRef>
          </c:val>
          <c:smooth val="0"/>
        </c:ser>
        <c:ser>
          <c:idx val="3"/>
          <c:order val="3"/>
          <c:tx>
            <c:strRef>
              <c:f>'T. MUNICIPI'!$A$32</c:f>
              <c:strCache>
                <c:ptCount val="1"/>
                <c:pt idx="0">
                  <c:v>Gasolina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MUNICIPI'!$B$32:$G$32</c:f>
              <c:numCache>
                <c:formatCode>General</c:formatCode>
                <c:ptCount val="6"/>
                <c:pt idx="0">
                  <c:v>34836.8314454196</c:v>
                </c:pt>
                <c:pt idx="1">
                  <c:v>35409.5394101154</c:v>
                </c:pt>
                <c:pt idx="2">
                  <c:v>35196.5507080797</c:v>
                </c:pt>
                <c:pt idx="3">
                  <c:v>33553.6409992852</c:v>
                </c:pt>
                <c:pt idx="4">
                  <c:v>31985.7961396805</c:v>
                </c:pt>
                <c:pt idx="5">
                  <c:v>30823.9985122559</c:v>
                </c:pt>
              </c:numCache>
            </c:numRef>
          </c:val>
          <c:smooth val="0"/>
        </c:ser>
        <c:ser>
          <c:idx val="4"/>
          <c:order val="4"/>
          <c:tx>
            <c:strRef>
              <c:f>'T. MUNICIPI'!$A$33</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MUNICIPI'!$B$33:$G$33</c:f>
              <c:numCache>
                <c:formatCode>General</c:formatCode>
                <c:ptCount val="6"/>
                <c:pt idx="0">
                  <c:v>3382.90663205931</c:v>
                </c:pt>
                <c:pt idx="1">
                  <c:v>3014.98810254877</c:v>
                </c:pt>
                <c:pt idx="2">
                  <c:v>2968.98631816385</c:v>
                </c:pt>
                <c:pt idx="3">
                  <c:v>3370.33153874866</c:v>
                </c:pt>
                <c:pt idx="4">
                  <c:v>0</c:v>
                </c:pt>
                <c:pt idx="5">
                  <c:v>0</c:v>
                </c:pt>
              </c:numCache>
            </c:numRef>
          </c:val>
          <c:smooth val="0"/>
        </c:ser>
        <c:hiLowLines>
          <c:spPr>
            <a:ln>
              <a:noFill/>
            </a:ln>
          </c:spPr>
        </c:hiLowLines>
        <c:marker val="0"/>
        <c:axId val="40646248"/>
        <c:axId val="46057140"/>
      </c:lineChart>
      <c:catAx>
        <c:axId val="40646248"/>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46057140"/>
        <c:crosses val="autoZero"/>
        <c:auto val="1"/>
        <c:lblAlgn val="ctr"/>
        <c:lblOffset val="100"/>
      </c:catAx>
      <c:valAx>
        <c:axId val="4605714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ea typeface="Arial"/>
                  </a:defRPr>
                </a:pPr>
                <a:r>
                  <a:rPr b="1" sz="1000" spc="-1" strike="noStrike">
                    <a:solidFill>
                      <a:srgbClr val="000000"/>
                    </a:solidFill>
                    <a:uFill>
                      <a:solidFill>
                        <a:srgbClr val="ffffff"/>
                      </a:solidFill>
                    </a:uFill>
                    <a:latin typeface="Calibri"/>
                    <a:ea typeface="Arial"/>
                  </a:rPr>
                  <a:t>MWh municipi</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40646248"/>
        <c:crosses val="autoZero"/>
        <c:crossBetween val="midCat"/>
      </c:valAx>
      <c:spPr>
        <a:solidFill>
          <a:srgbClr val="ffffff"/>
        </a:solidFill>
        <a:ln>
          <a:noFill/>
        </a:ln>
      </c:spPr>
    </c:plotArea>
    <c:legend>
      <c:layout>
        <c:manualLayout>
          <c:xMode val="edge"/>
          <c:yMode val="edge"/>
          <c:x val="0.828423438005827"/>
          <c:y val="0.219942828316798"/>
        </c:manualLayout>
      </c:layout>
      <c:spPr>
        <a:noFill/>
        <a:ln>
          <a:noFill/>
        </a:ln>
      </c:spPr>
    </c:legend>
    <c:plotVisOnly val="1"/>
    <c:dispBlanksAs val="gap"/>
  </c:chart>
  <c:spPr>
    <a:solidFill>
      <a:srgbClr val="ffffff"/>
    </a:solidFill>
    <a:ln>
      <a:solidFill>
        <a:srgbClr val="000000"/>
      </a:solidFill>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MUNICIPI'!$A$29:$A$33</c:f>
              <c:strCache>
                <c:ptCount val="5"/>
                <c:pt idx="0">
                  <c:v>EE</c:v>
                </c:pt>
                <c:pt idx="1">
                  <c:v>GLP</c:v>
                </c:pt>
                <c:pt idx="2">
                  <c:v>Gasoil</c:v>
                </c:pt>
                <c:pt idx="3">
                  <c:v>Gasolina</c:v>
                </c:pt>
                <c:pt idx="4">
                  <c:v>Fueloil</c:v>
                </c:pt>
              </c:strCache>
            </c:strRef>
          </c:cat>
          <c:val>
            <c:numRef>
              <c:f>'T. MUNICIPI'!$F$29:$F$33</c:f>
              <c:numCache>
                <c:formatCode>General</c:formatCode>
                <c:ptCount val="5"/>
                <c:pt idx="0">
                  <c:v>81135</c:v>
                </c:pt>
                <c:pt idx="1">
                  <c:v>8774.68646192605</c:v>
                </c:pt>
                <c:pt idx="2">
                  <c:v>121405.918672692</c:v>
                </c:pt>
                <c:pt idx="3">
                  <c:v>31985.7961396805</c:v>
                </c:pt>
                <c:pt idx="4">
                  <c:v>0</c:v>
                </c:pt>
              </c:numCache>
            </c:numRef>
          </c:val>
        </c:ser>
      </c:pie3DChart>
      <c:spPr>
        <a:solidFill>
          <a:srgbClr val="d9d9d9"/>
        </a:solidFill>
        <a:ln>
          <a:noFill/>
        </a:ln>
      </c:spPr>
    </c:plotArea>
    <c:legend>
      <c:layout>
        <c:manualLayout>
          <c:xMode val="edge"/>
          <c:yMode val="edge"/>
          <c:x val="0.800477580260016"/>
          <c:y val="0.177075301978926"/>
        </c:manualLayout>
      </c:layout>
      <c:spPr>
        <a:noFill/>
        <a:ln>
          <a:noFill/>
        </a:ln>
      </c:spPr>
    </c:legend>
    <c:plotVisOnly val="1"/>
    <c:dispBlanksAs val="zero"/>
  </c:chart>
  <c:spPr>
    <a:solidFill>
      <a:srgbClr val="ffffff"/>
    </a:solidFill>
    <a:ln>
      <a:noFill/>
    </a:ln>
  </c:spPr>
</c:chartSpace>
</file>

<file path=xl/charts/chart100.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'T.AJUNTAMENT'!$A$17</c:f>
              <c:strCache>
                <c:ptCount val="1"/>
                <c:pt idx="0">
                  <c:v>EE</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'T.AJUNTAMENT'!$B$17:$G$17</c:f>
              <c:numCache>
                <c:formatCode>General</c:formatCode>
                <c:ptCount val="6"/>
                <c:pt idx="0">
                  <c:v>8021.30115</c:v>
                </c:pt>
                <c:pt idx="1">
                  <c:v>8767.06912</c:v>
                </c:pt>
                <c:pt idx="2">
                  <c:v>8722.94726</c:v>
                </c:pt>
                <c:pt idx="3">
                  <c:v>9212.4988</c:v>
                </c:pt>
                <c:pt idx="4">
                  <c:v>9281.7222</c:v>
                </c:pt>
                <c:pt idx="5">
                  <c:v>6187.73913</c:v>
                </c:pt>
              </c:numCache>
            </c:numRef>
          </c:val>
          <c:smooth val="0"/>
        </c:ser>
        <c:ser>
          <c:idx val="1"/>
          <c:order val="1"/>
          <c:tx>
            <c:strRef>
              <c:f>'T.AJUNTAMENT'!$A$18</c:f>
              <c:strCache>
                <c:ptCount val="1"/>
                <c:pt idx="0">
                  <c:v>GN</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'T.AJUNTAMENT'!$B$18:$G$18</c:f>
              <c:numCache>
                <c:formatCode>General</c:formatCode>
                <c:ptCount val="6"/>
                <c:pt idx="0">
                  <c:v>0</c:v>
                </c:pt>
                <c:pt idx="1">
                  <c:v>0</c:v>
                </c:pt>
                <c:pt idx="2">
                  <c:v>0</c:v>
                </c:pt>
                <c:pt idx="3">
                  <c:v>0</c:v>
                </c:pt>
                <c:pt idx="4">
                  <c:v>0</c:v>
                </c:pt>
                <c:pt idx="5">
                  <c:v>0</c:v>
                </c:pt>
              </c:numCache>
            </c:numRef>
          </c:val>
          <c:smooth val="0"/>
        </c:ser>
        <c:ser>
          <c:idx val="2"/>
          <c:order val="2"/>
          <c:tx>
            <c:strRef>
              <c:f>'T.AJUNTAMENT'!$A$19</c:f>
              <c:strCache>
                <c:ptCount val="1"/>
                <c:pt idx="0">
                  <c:v>GLP</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'T.AJUNTAMENT'!$B$19:$G$19</c:f>
              <c:numCache>
                <c:formatCode>General</c:formatCode>
                <c:ptCount val="6"/>
                <c:pt idx="0">
                  <c:v>172.469534883721</c:v>
                </c:pt>
                <c:pt idx="1">
                  <c:v>172.469534883721</c:v>
                </c:pt>
                <c:pt idx="2">
                  <c:v>172.469534883721</c:v>
                </c:pt>
                <c:pt idx="3">
                  <c:v>172.469534883721</c:v>
                </c:pt>
                <c:pt idx="4">
                  <c:v>172.469534883721</c:v>
                </c:pt>
                <c:pt idx="5">
                  <c:v>172.469534883721</c:v>
                </c:pt>
              </c:numCache>
            </c:numRef>
          </c:val>
          <c:smooth val="0"/>
        </c:ser>
        <c:ser>
          <c:idx val="3"/>
          <c:order val="3"/>
          <c:tx>
            <c:strRef>
              <c:f>'T.AJUNTAMENT'!$A$20</c:f>
              <c:strCache>
                <c:ptCount val="1"/>
                <c:pt idx="0">
                  <c:v>Gasoil</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'T.AJUNTAMENT'!$B$20:$G$20</c:f>
              <c:numCache>
                <c:formatCode>General</c:formatCode>
                <c:ptCount val="6"/>
                <c:pt idx="0">
                  <c:v>1849.50110385</c:v>
                </c:pt>
                <c:pt idx="1">
                  <c:v>2023.16116885</c:v>
                </c:pt>
                <c:pt idx="2">
                  <c:v>2023.16116885</c:v>
                </c:pt>
                <c:pt idx="3">
                  <c:v>2023.16116885</c:v>
                </c:pt>
                <c:pt idx="4">
                  <c:v>2023.16116885</c:v>
                </c:pt>
                <c:pt idx="5">
                  <c:v>2060.11011885</c:v>
                </c:pt>
              </c:numCache>
            </c:numRef>
          </c:val>
          <c:smooth val="0"/>
        </c:ser>
        <c:ser>
          <c:idx val="4"/>
          <c:order val="4"/>
          <c:tx>
            <c:strRef>
              <c:f>'T.AJUNTAMENT'!$A$21</c:f>
              <c:strCache>
                <c:ptCount val="1"/>
                <c:pt idx="0">
                  <c:v>Gasolina</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'T.AJUNTAMENT'!$B$21:$G$21</c:f>
              <c:numCache>
                <c:formatCode>General</c:formatCode>
                <c:ptCount val="6"/>
                <c:pt idx="0">
                  <c:v>214.336395</c:v>
                </c:pt>
                <c:pt idx="1">
                  <c:v>347.02083</c:v>
                </c:pt>
                <c:pt idx="2">
                  <c:v>347.02083</c:v>
                </c:pt>
                <c:pt idx="3">
                  <c:v>347.02083</c:v>
                </c:pt>
                <c:pt idx="4">
                  <c:v>347.02083</c:v>
                </c:pt>
                <c:pt idx="5">
                  <c:v>347.02083</c:v>
                </c:pt>
              </c:numCache>
            </c:numRef>
          </c:val>
          <c:smooth val="0"/>
        </c:ser>
        <c:ser>
          <c:idx val="5"/>
          <c:order val="5"/>
          <c:tx>
            <c:strRef>
              <c:f>'T.AJUNTAMENT'!$A$22</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'T.AJUNTAMENT'!$B$22:$G$22</c:f>
              <c:numCache>
                <c:formatCode>General</c:formatCode>
                <c:ptCount val="6"/>
                <c:pt idx="0">
                  <c:v>0</c:v>
                </c:pt>
                <c:pt idx="1">
                  <c:v>0</c:v>
                </c:pt>
                <c:pt idx="2">
                  <c:v>0</c:v>
                </c:pt>
                <c:pt idx="3">
                  <c:v>0</c:v>
                </c:pt>
                <c:pt idx="4">
                  <c:v>0</c:v>
                </c:pt>
                <c:pt idx="5">
                  <c:v>0</c:v>
                </c:pt>
              </c:numCache>
            </c:numRef>
          </c:val>
          <c:smooth val="0"/>
        </c:ser>
        <c:hiLowLines>
          <c:spPr>
            <a:ln>
              <a:noFill/>
            </a:ln>
          </c:spPr>
        </c:hiLowLines>
        <c:marker val="0"/>
        <c:axId val="28794242"/>
        <c:axId val="9137245"/>
      </c:lineChart>
      <c:catAx>
        <c:axId val="28794242"/>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137245"/>
        <c:crosses val="autoZero"/>
        <c:auto val="1"/>
        <c:lblAlgn val="ctr"/>
        <c:lblOffset val="100"/>
      </c:catAx>
      <c:valAx>
        <c:axId val="9137245"/>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8794242"/>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01.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'T.AJUNTAMENT'!$A$37</c:f>
              <c:strCache>
                <c:ptCount val="1"/>
                <c:pt idx="0">
                  <c:v>EE</c:v>
                </c:pt>
              </c:strCache>
            </c:strRef>
          </c:tx>
          <c:spPr>
            <a:solidFill>
              <a:srgbClr val="f79646"/>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'T.AJUNTAMENT'!$B$37:$G$37</c:f>
              <c:numCache>
                <c:formatCode>General</c:formatCode>
                <c:ptCount val="6"/>
                <c:pt idx="0">
                  <c:v>6768.37391037</c:v>
                </c:pt>
                <c:pt idx="1">
                  <c:v>7964.005588608</c:v>
                </c:pt>
                <c:pt idx="2">
                  <c:v>7162.411995186</c:v>
                </c:pt>
                <c:pt idx="3">
                  <c:v>7620.57900736</c:v>
                </c:pt>
                <c:pt idx="4">
                  <c:v>7871.82859782</c:v>
                </c:pt>
                <c:pt idx="5">
                  <c:v>5247.821556153</c:v>
                </c:pt>
              </c:numCache>
            </c:numRef>
          </c:val>
        </c:ser>
        <c:ser>
          <c:idx val="1"/>
          <c:order val="1"/>
          <c:tx>
            <c:strRef>
              <c:f>'T.AJUNTAMENT'!$A$38</c:f>
              <c:strCache>
                <c:ptCount val="1"/>
                <c:pt idx="0">
                  <c:v>GN</c:v>
                </c:pt>
              </c:strCache>
            </c:strRef>
          </c:tx>
          <c:spPr>
            <a:solidFill>
              <a:srgbClr val="4bacc6"/>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'T.AJUNTAMENT'!$B$38:$G$38</c:f>
              <c:numCache>
                <c:formatCode>General</c:formatCode>
                <c:ptCount val="6"/>
                <c:pt idx="0">
                  <c:v>0</c:v>
                </c:pt>
                <c:pt idx="1">
                  <c:v>0</c:v>
                </c:pt>
                <c:pt idx="2">
                  <c:v>0</c:v>
                </c:pt>
                <c:pt idx="3">
                  <c:v>0</c:v>
                </c:pt>
                <c:pt idx="4">
                  <c:v>0</c:v>
                </c:pt>
                <c:pt idx="5">
                  <c:v>0</c:v>
                </c:pt>
              </c:numCache>
            </c:numRef>
          </c:val>
        </c:ser>
        <c:ser>
          <c:idx val="2"/>
          <c:order val="2"/>
          <c:tx>
            <c:strRef>
              <c:f>'T.AJUNTAMENT'!$A$39</c:f>
              <c:strCache>
                <c:ptCount val="1"/>
                <c:pt idx="0">
                  <c:v>GLP</c:v>
                </c:pt>
              </c:strCache>
            </c:strRef>
          </c:tx>
          <c:spPr>
            <a:solidFill>
              <a:srgbClr val="4f81bd"/>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'T.AJUNTAMENT'!$B$39:$G$39</c:f>
              <c:numCache>
                <c:formatCode>General</c:formatCode>
                <c:ptCount val="6"/>
                <c:pt idx="0">
                  <c:v>39.1505844186047</c:v>
                </c:pt>
                <c:pt idx="1">
                  <c:v>39.1505844186047</c:v>
                </c:pt>
                <c:pt idx="2">
                  <c:v>39.1505844186047</c:v>
                </c:pt>
                <c:pt idx="3">
                  <c:v>39.1505844186047</c:v>
                </c:pt>
                <c:pt idx="4">
                  <c:v>39.1505844186047</c:v>
                </c:pt>
                <c:pt idx="5">
                  <c:v>39.1505844186047</c:v>
                </c:pt>
              </c:numCache>
            </c:numRef>
          </c:val>
        </c:ser>
        <c:ser>
          <c:idx val="3"/>
          <c:order val="3"/>
          <c:tx>
            <c:strRef>
              <c:f>'T.AJUNTAMENT'!$A$40</c:f>
              <c:strCache>
                <c:ptCount val="1"/>
                <c:pt idx="0">
                  <c:v>Gasoil</c:v>
                </c:pt>
              </c:strCache>
            </c:strRef>
          </c:tx>
          <c:spPr>
            <a:solidFill>
              <a:srgbClr val="9bbb59"/>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'T.AJUNTAMENT'!$B$40:$G$40</c:f>
              <c:numCache>
                <c:formatCode>General</c:formatCode>
                <c:ptCount val="6"/>
                <c:pt idx="0">
                  <c:v>493.81679472795</c:v>
                </c:pt>
                <c:pt idx="1">
                  <c:v>540.18403208295</c:v>
                </c:pt>
                <c:pt idx="2">
                  <c:v>540.18403208295</c:v>
                </c:pt>
                <c:pt idx="3">
                  <c:v>540.18403208295</c:v>
                </c:pt>
                <c:pt idx="4">
                  <c:v>540.18403208295</c:v>
                </c:pt>
                <c:pt idx="5">
                  <c:v>550.04940173295</c:v>
                </c:pt>
              </c:numCache>
            </c:numRef>
          </c:val>
        </c:ser>
        <c:ser>
          <c:idx val="4"/>
          <c:order val="4"/>
          <c:tx>
            <c:strRef>
              <c:f>'T.AJUNTAMENT'!$A$41</c:f>
              <c:strCache>
                <c:ptCount val="1"/>
                <c:pt idx="0">
                  <c:v>Gasolina</c:v>
                </c:pt>
              </c:strCache>
            </c:strRef>
          </c:tx>
          <c:spPr>
            <a:solidFill>
              <a:srgbClr val="8064a2"/>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'T.AJUNTAMENT'!$B$41:$G$41</c:f>
              <c:numCache>
                <c:formatCode>General</c:formatCode>
                <c:ptCount val="6"/>
                <c:pt idx="0">
                  <c:v>53.369762355</c:v>
                </c:pt>
                <c:pt idx="1">
                  <c:v>86.40818667</c:v>
                </c:pt>
                <c:pt idx="2">
                  <c:v>86.40818667</c:v>
                </c:pt>
                <c:pt idx="3">
                  <c:v>86.40818667</c:v>
                </c:pt>
                <c:pt idx="4">
                  <c:v>86.40818667</c:v>
                </c:pt>
                <c:pt idx="5">
                  <c:v>86.40818667</c:v>
                </c:pt>
              </c:numCache>
            </c:numRef>
          </c:val>
        </c:ser>
        <c:ser>
          <c:idx val="5"/>
          <c:order val="5"/>
          <c:tx>
            <c:strRef>
              <c:f>'T.AJUNTAMENT'!$A$42</c:f>
              <c:strCache>
                <c:ptCount val="1"/>
                <c:pt idx="0">
                  <c:v>Fueloil</c:v>
                </c:pt>
              </c:strCache>
            </c:strRef>
          </c:tx>
          <c:spPr>
            <a:solidFill>
              <a:srgbClr val="c0504d"/>
            </a:solidFill>
            <a:ln>
              <a:noFill/>
            </a:ln>
          </c:spPr>
          <c:invertIfNegative val="0"/>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'T.AJUNTAMENT'!$B$42:$G$42</c:f>
              <c:numCache>
                <c:formatCode>General</c:formatCode>
                <c:ptCount val="6"/>
                <c:pt idx="0">
                  <c:v>0</c:v>
                </c:pt>
                <c:pt idx="1">
                  <c:v>0</c:v>
                </c:pt>
                <c:pt idx="2">
                  <c:v>0</c:v>
                </c:pt>
                <c:pt idx="3">
                  <c:v>0</c:v>
                </c:pt>
                <c:pt idx="4">
                  <c:v>0</c:v>
                </c:pt>
                <c:pt idx="5">
                  <c:v>0</c:v>
                </c:pt>
              </c:numCache>
            </c:numRef>
          </c:val>
        </c:ser>
        <c:gapWidth val="150"/>
        <c:overlap val="100"/>
        <c:axId val="98019716"/>
        <c:axId val="80809979"/>
      </c:barChart>
      <c:catAx>
        <c:axId val="98019716"/>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0809979"/>
        <c:crosses val="autoZero"/>
        <c:auto val="1"/>
        <c:lblAlgn val="ctr"/>
        <c:lblOffset val="100"/>
      </c:catAx>
      <c:valAx>
        <c:axId val="8080997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8019716"/>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02.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'T.AJUNTAMENT'!$A$37</c:f>
              <c:strCache>
                <c:ptCount val="1"/>
                <c:pt idx="0">
                  <c:v>EE</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'T.AJUNTAMENT'!$B$37:$G$37</c:f>
              <c:numCache>
                <c:formatCode>General</c:formatCode>
                <c:ptCount val="6"/>
                <c:pt idx="0">
                  <c:v>6768.37391037</c:v>
                </c:pt>
                <c:pt idx="1">
                  <c:v>7964.005588608</c:v>
                </c:pt>
                <c:pt idx="2">
                  <c:v>7162.411995186</c:v>
                </c:pt>
                <c:pt idx="3">
                  <c:v>7620.57900736</c:v>
                </c:pt>
                <c:pt idx="4">
                  <c:v>7871.82859782</c:v>
                </c:pt>
                <c:pt idx="5">
                  <c:v>5247.821556153</c:v>
                </c:pt>
              </c:numCache>
            </c:numRef>
          </c:val>
          <c:smooth val="0"/>
        </c:ser>
        <c:ser>
          <c:idx val="1"/>
          <c:order val="1"/>
          <c:tx>
            <c:strRef>
              <c:f>'T.AJUNTAMENT'!$A$38</c:f>
              <c:strCache>
                <c:ptCount val="1"/>
                <c:pt idx="0">
                  <c:v>GN</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'T.AJUNTAMENT'!$B$38:$G$38</c:f>
              <c:numCache>
                <c:formatCode>General</c:formatCode>
                <c:ptCount val="6"/>
                <c:pt idx="0">
                  <c:v>0</c:v>
                </c:pt>
                <c:pt idx="1">
                  <c:v>0</c:v>
                </c:pt>
                <c:pt idx="2">
                  <c:v>0</c:v>
                </c:pt>
                <c:pt idx="3">
                  <c:v>0</c:v>
                </c:pt>
                <c:pt idx="4">
                  <c:v>0</c:v>
                </c:pt>
                <c:pt idx="5">
                  <c:v>0</c:v>
                </c:pt>
              </c:numCache>
            </c:numRef>
          </c:val>
          <c:smooth val="0"/>
        </c:ser>
        <c:ser>
          <c:idx val="2"/>
          <c:order val="2"/>
          <c:tx>
            <c:strRef>
              <c:f>'T.AJUNTAMENT'!$A$39</c:f>
              <c:strCache>
                <c:ptCount val="1"/>
                <c:pt idx="0">
                  <c:v>GLP</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'T.AJUNTAMENT'!$B$39:$G$39</c:f>
              <c:numCache>
                <c:formatCode>General</c:formatCode>
                <c:ptCount val="6"/>
                <c:pt idx="0">
                  <c:v>39.1505844186047</c:v>
                </c:pt>
                <c:pt idx="1">
                  <c:v>39.1505844186047</c:v>
                </c:pt>
                <c:pt idx="2">
                  <c:v>39.1505844186047</c:v>
                </c:pt>
                <c:pt idx="3">
                  <c:v>39.1505844186047</c:v>
                </c:pt>
                <c:pt idx="4">
                  <c:v>39.1505844186047</c:v>
                </c:pt>
                <c:pt idx="5">
                  <c:v>39.1505844186047</c:v>
                </c:pt>
              </c:numCache>
            </c:numRef>
          </c:val>
          <c:smooth val="0"/>
        </c:ser>
        <c:ser>
          <c:idx val="3"/>
          <c:order val="3"/>
          <c:tx>
            <c:strRef>
              <c:f>'T.AJUNTAMENT'!$A$40</c:f>
              <c:strCache>
                <c:ptCount val="1"/>
                <c:pt idx="0">
                  <c:v>Gasoil</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'T.AJUNTAMENT'!$B$40:$G$40</c:f>
              <c:numCache>
                <c:formatCode>General</c:formatCode>
                <c:ptCount val="6"/>
                <c:pt idx="0">
                  <c:v>493.81679472795</c:v>
                </c:pt>
                <c:pt idx="1">
                  <c:v>540.18403208295</c:v>
                </c:pt>
                <c:pt idx="2">
                  <c:v>540.18403208295</c:v>
                </c:pt>
                <c:pt idx="3">
                  <c:v>540.18403208295</c:v>
                </c:pt>
                <c:pt idx="4">
                  <c:v>540.18403208295</c:v>
                </c:pt>
                <c:pt idx="5">
                  <c:v>550.04940173295</c:v>
                </c:pt>
              </c:numCache>
            </c:numRef>
          </c:val>
          <c:smooth val="0"/>
        </c:ser>
        <c:ser>
          <c:idx val="4"/>
          <c:order val="4"/>
          <c:tx>
            <c:strRef>
              <c:f>'T.AJUNTAMENT'!$A$41</c:f>
              <c:strCache>
                <c:ptCount val="1"/>
                <c:pt idx="0">
                  <c:v>Gasolina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'T.AJUNTAMENT'!$B$41:$G$41</c:f>
              <c:numCache>
                <c:formatCode>General</c:formatCode>
                <c:ptCount val="6"/>
                <c:pt idx="0">
                  <c:v>53.369762355</c:v>
                </c:pt>
                <c:pt idx="1">
                  <c:v>86.40818667</c:v>
                </c:pt>
                <c:pt idx="2">
                  <c:v>86.40818667</c:v>
                </c:pt>
                <c:pt idx="3">
                  <c:v>86.40818667</c:v>
                </c:pt>
                <c:pt idx="4">
                  <c:v>86.40818667</c:v>
                </c:pt>
                <c:pt idx="5">
                  <c:v>86.40818667</c:v>
                </c:pt>
              </c:numCache>
            </c:numRef>
          </c:val>
          <c:smooth val="0"/>
        </c:ser>
        <c:ser>
          <c:idx val="5"/>
          <c:order val="5"/>
          <c:tx>
            <c:strRef>
              <c:f>'T.AJUNTAMENT'!$A$42</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'T.AJUNTAMENT'!$B$42:$G$42</c:f>
              <c:numCache>
                <c:formatCode>General</c:formatCode>
                <c:ptCount val="6"/>
                <c:pt idx="0">
                  <c:v>0</c:v>
                </c:pt>
                <c:pt idx="1">
                  <c:v>0</c:v>
                </c:pt>
                <c:pt idx="2">
                  <c:v>0</c:v>
                </c:pt>
                <c:pt idx="3">
                  <c:v>0</c:v>
                </c:pt>
                <c:pt idx="4">
                  <c:v>0</c:v>
                </c:pt>
                <c:pt idx="5">
                  <c:v>0</c:v>
                </c:pt>
              </c:numCache>
            </c:numRef>
          </c:val>
          <c:smooth val="0"/>
        </c:ser>
        <c:hiLowLines>
          <c:spPr>
            <a:ln>
              <a:noFill/>
            </a:ln>
          </c:spPr>
        </c:hiLowLines>
        <c:marker val="0"/>
        <c:axId val="21507654"/>
        <c:axId val="90077012"/>
      </c:lineChart>
      <c:catAx>
        <c:axId val="21507654"/>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0077012"/>
        <c:crosses val="autoZero"/>
        <c:auto val="1"/>
        <c:lblAlgn val="ctr"/>
        <c:lblOffset val="100"/>
      </c:catAx>
      <c:valAx>
        <c:axId val="9007701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1507654"/>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0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1960018741215"/>
          <c:y val="0.0610641766711131"/>
          <c:w val="0.556457910354521"/>
          <c:h val="0.758262931673336"/>
        </c:manualLayout>
      </c:layout>
      <c:barChart>
        <c:barDir val="col"/>
        <c:grouping val="stacked"/>
        <c:varyColors val="0"/>
        <c:ser>
          <c:idx val="0"/>
          <c:order val="0"/>
          <c:tx>
            <c:strRef>
              <c:f>'T.AJUNTAMENT'!$A$57</c:f>
              <c:strCache>
                <c:ptCount val="1"/>
                <c:pt idx="0">
                  <c:v>Enllumenat públic</c:v>
                </c:pt>
              </c:strCache>
            </c:strRef>
          </c:tx>
          <c:spPr>
            <a:solidFill>
              <a:srgbClr val="93a9ce"/>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'T.AJUNTAMENT'!$B$57:$G$57</c:f>
              <c:numCache>
                <c:formatCode>General</c:formatCode>
                <c:ptCount val="6"/>
                <c:pt idx="0">
                  <c:v>835.611</c:v>
                </c:pt>
                <c:pt idx="1">
                  <c:v>1043.648</c:v>
                </c:pt>
                <c:pt idx="2">
                  <c:v>854.374</c:v>
                </c:pt>
                <c:pt idx="3">
                  <c:v>1037.84</c:v>
                </c:pt>
                <c:pt idx="4">
                  <c:v>963.455</c:v>
                </c:pt>
                <c:pt idx="5">
                  <c:v>813.533</c:v>
                </c:pt>
              </c:numCache>
            </c:numRef>
          </c:val>
        </c:ser>
        <c:ser>
          <c:idx val="1"/>
          <c:order val="1"/>
          <c:tx>
            <c:strRef>
              <c:f>'T.AJUNTAMENT'!$A$58</c:f>
              <c:strCache>
                <c:ptCount val="1"/>
                <c:pt idx="0">
                  <c:v>Semàfors</c:v>
                </c:pt>
              </c:strCache>
            </c:strRef>
          </c:tx>
          <c:spPr>
            <a:solidFill>
              <a:srgbClr val="dc853e"/>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'T.AJUNTAMENT'!$B$58:$G$58</c:f>
              <c:numCache>
                <c:formatCode>General</c:formatCode>
                <c:ptCount val="6"/>
                <c:pt idx="0">
                  <c:v>7.008</c:v>
                </c:pt>
                <c:pt idx="1">
                  <c:v>7.008</c:v>
                </c:pt>
                <c:pt idx="2">
                  <c:v>7.008</c:v>
                </c:pt>
                <c:pt idx="3">
                  <c:v>7.008</c:v>
                </c:pt>
                <c:pt idx="4">
                  <c:v>7.008</c:v>
                </c:pt>
                <c:pt idx="5">
                  <c:v>7.008</c:v>
                </c:pt>
              </c:numCache>
            </c:numRef>
          </c:val>
        </c:ser>
        <c:ser>
          <c:idx val="2"/>
          <c:order val="2"/>
          <c:tx>
            <c:strRef>
              <c:f>'T.AJUNTAMENT'!$A$59</c:f>
              <c:strCache>
                <c:ptCount val="1"/>
                <c:pt idx="0">
                  <c:v>Equipaments</c:v>
                </c:pt>
              </c:strCache>
            </c:strRef>
          </c:tx>
          <c:spPr>
            <a:solidFill>
              <a:srgbClr val="4299b0"/>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'T.AJUNTAMENT'!$B$59:$G$59</c:f>
              <c:numCache>
                <c:formatCode>General</c:formatCode>
                <c:ptCount val="6"/>
                <c:pt idx="0">
                  <c:v>2408.55473488372</c:v>
                </c:pt>
                <c:pt idx="1">
                  <c:v>2295.22273488372</c:v>
                </c:pt>
                <c:pt idx="2">
                  <c:v>2344.54773488372</c:v>
                </c:pt>
                <c:pt idx="3">
                  <c:v>2335.05373488372</c:v>
                </c:pt>
                <c:pt idx="4">
                  <c:v>2280.66273488372</c:v>
                </c:pt>
                <c:pt idx="5">
                  <c:v>2212.10773488372</c:v>
                </c:pt>
              </c:numCache>
            </c:numRef>
          </c:val>
        </c:ser>
        <c:ser>
          <c:idx val="3"/>
          <c:order val="3"/>
          <c:tx>
            <c:strRef>
              <c:f>'T.AJUNTAMENT'!$A$60</c:f>
              <c:strCache>
                <c:ptCount val="1"/>
                <c:pt idx="0">
                  <c:v>Vehicles municipals</c:v>
                </c:pt>
              </c:strCache>
            </c:strRef>
          </c:tx>
          <c:spPr>
            <a:solidFill>
              <a:srgbClr val="725990"/>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'T.AJUNTAMENT'!$B$60:$G$60</c:f>
              <c:numCache>
                <c:formatCode>General</c:formatCode>
                <c:ptCount val="6"/>
                <c:pt idx="0">
                  <c:v>798.129805</c:v>
                </c:pt>
                <c:pt idx="1">
                  <c:v>1104.474305</c:v>
                </c:pt>
                <c:pt idx="2">
                  <c:v>1104.474305</c:v>
                </c:pt>
                <c:pt idx="3">
                  <c:v>1104.474305</c:v>
                </c:pt>
                <c:pt idx="4">
                  <c:v>1104.474305</c:v>
                </c:pt>
                <c:pt idx="5">
                  <c:v>1141.423255</c:v>
                </c:pt>
              </c:numCache>
            </c:numRef>
          </c:val>
        </c:ser>
        <c:ser>
          <c:idx val="4"/>
          <c:order val="4"/>
          <c:tx>
            <c:strRef>
              <c:f>'T.AJUNTAMENT'!$A$61</c:f>
              <c:strCache>
                <c:ptCount val="1"/>
                <c:pt idx="0">
                  <c:v>Vehicles externalitzats</c:v>
                </c:pt>
              </c:strCache>
            </c:strRef>
          </c:tx>
          <c:spPr>
            <a:solidFill>
              <a:srgbClr val="8aa64f"/>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'T.AJUNTAMENT'!$B$61:$G$61</c:f>
              <c:numCache>
                <c:formatCode>General</c:formatCode>
                <c:ptCount val="6"/>
                <c:pt idx="0">
                  <c:v>577.01049385</c:v>
                </c:pt>
                <c:pt idx="1">
                  <c:v>577.01049385</c:v>
                </c:pt>
                <c:pt idx="2">
                  <c:v>577.01049385</c:v>
                </c:pt>
                <c:pt idx="3">
                  <c:v>577.01049385</c:v>
                </c:pt>
                <c:pt idx="4">
                  <c:v>577.01049385</c:v>
                </c:pt>
                <c:pt idx="5">
                  <c:v>577.01049385</c:v>
                </c:pt>
              </c:numCache>
            </c:numRef>
          </c:val>
        </c:ser>
        <c:ser>
          <c:idx val="5"/>
          <c:order val="5"/>
          <c:tx>
            <c:strRef>
              <c:f>'T.AJUNTAMENT'!$A$62</c:f>
              <c:strCache>
                <c:ptCount val="1"/>
                <c:pt idx="0">
                  <c:v>Bombament</c:v>
                </c:pt>
              </c:strCache>
            </c:strRef>
          </c:tx>
          <c:spPr>
            <a:solidFill>
              <a:srgbClr val="4672a8"/>
            </a:solidFill>
            <a:ln>
              <a:noFill/>
            </a:ln>
          </c:spPr>
          <c:invertIfNegative val="0"/>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'T.AJUNTAMENT'!$B$62:$G$62</c:f>
              <c:numCache>
                <c:formatCode>General</c:formatCode>
                <c:ptCount val="6"/>
                <c:pt idx="0">
                  <c:v>5631.29415</c:v>
                </c:pt>
                <c:pt idx="1">
                  <c:v>6282.35712</c:v>
                </c:pt>
                <c:pt idx="2">
                  <c:v>6378.18426</c:v>
                </c:pt>
                <c:pt idx="3">
                  <c:v>6693.7638</c:v>
                </c:pt>
                <c:pt idx="4">
                  <c:v>6891.7632</c:v>
                </c:pt>
                <c:pt idx="5">
                  <c:v>4016.25713</c:v>
                </c:pt>
              </c:numCache>
            </c:numRef>
          </c:val>
        </c:ser>
        <c:gapWidth val="150"/>
        <c:overlap val="100"/>
        <c:axId val="67205759"/>
        <c:axId val="23582989"/>
      </c:barChart>
      <c:catAx>
        <c:axId val="67205759"/>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3582989"/>
        <c:crosses val="autoZero"/>
        <c:auto val="1"/>
        <c:lblAlgn val="ctr"/>
        <c:lblOffset val="100"/>
      </c:catAx>
      <c:valAx>
        <c:axId val="2358298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7205759"/>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04.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'T.AJUNTAMENT'!$A$57</c:f>
              <c:strCache>
                <c:ptCount val="1"/>
                <c:pt idx="0">
                  <c:v>Enllumenat públic</c:v>
                </c:pt>
              </c:strCache>
            </c:strRef>
          </c:tx>
          <c:spPr>
            <a:solidFill>
              <a:srgbClr val="aa433f"/>
            </a:solidFill>
            <a:ln w="28440">
              <a:solidFill>
                <a:srgbClr val="aa433f"/>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'T.AJUNTAMENT'!$B$57:$G$57</c:f>
              <c:numCache>
                <c:formatCode>General</c:formatCode>
                <c:ptCount val="6"/>
                <c:pt idx="0">
                  <c:v>835.611</c:v>
                </c:pt>
                <c:pt idx="1">
                  <c:v>1043.648</c:v>
                </c:pt>
                <c:pt idx="2">
                  <c:v>854.374</c:v>
                </c:pt>
                <c:pt idx="3">
                  <c:v>1037.84</c:v>
                </c:pt>
                <c:pt idx="4">
                  <c:v>963.455</c:v>
                </c:pt>
                <c:pt idx="5">
                  <c:v>813.533</c:v>
                </c:pt>
              </c:numCache>
            </c:numRef>
          </c:val>
          <c:smooth val="0"/>
        </c:ser>
        <c:ser>
          <c:idx val="1"/>
          <c:order val="1"/>
          <c:tx>
            <c:strRef>
              <c:f>'T.AJUNTAMENT'!$A$58</c:f>
              <c:strCache>
                <c:ptCount val="1"/>
                <c:pt idx="0">
                  <c:v>Semàfors</c:v>
                </c:pt>
              </c:strCache>
            </c:strRef>
          </c:tx>
          <c:spPr>
            <a:solidFill>
              <a:srgbClr val="87a44b"/>
            </a:solidFill>
            <a:ln w="28440">
              <a:solidFill>
                <a:srgbClr val="87a44b"/>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'T.AJUNTAMENT'!$B$58:$G$58</c:f>
              <c:numCache>
                <c:formatCode>General</c:formatCode>
                <c:ptCount val="6"/>
                <c:pt idx="0">
                  <c:v>7.008</c:v>
                </c:pt>
                <c:pt idx="1">
                  <c:v>7.008</c:v>
                </c:pt>
                <c:pt idx="2">
                  <c:v>7.008</c:v>
                </c:pt>
                <c:pt idx="3">
                  <c:v>7.008</c:v>
                </c:pt>
                <c:pt idx="4">
                  <c:v>7.008</c:v>
                </c:pt>
                <c:pt idx="5">
                  <c:v>7.008</c:v>
                </c:pt>
              </c:numCache>
            </c:numRef>
          </c:val>
          <c:smooth val="0"/>
        </c:ser>
        <c:ser>
          <c:idx val="2"/>
          <c:order val="2"/>
          <c:tx>
            <c:strRef>
              <c:f>'T.AJUNTAMENT'!$A$59</c:f>
              <c:strCache>
                <c:ptCount val="1"/>
                <c:pt idx="0">
                  <c:v>Equipaments</c:v>
                </c:pt>
              </c:strCache>
            </c:strRef>
          </c:tx>
          <c:spPr>
            <a:solidFill>
              <a:srgbClr val="6f568d"/>
            </a:solidFill>
            <a:ln w="28440">
              <a:solidFill>
                <a:srgbClr val="6f568d"/>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'T.AJUNTAMENT'!$B$59:$G$59</c:f>
              <c:numCache>
                <c:formatCode>General</c:formatCode>
                <c:ptCount val="6"/>
                <c:pt idx="0">
                  <c:v>2408.55473488372</c:v>
                </c:pt>
                <c:pt idx="1">
                  <c:v>2295.22273488372</c:v>
                </c:pt>
                <c:pt idx="2">
                  <c:v>2344.54773488372</c:v>
                </c:pt>
                <c:pt idx="3">
                  <c:v>2335.05373488372</c:v>
                </c:pt>
                <c:pt idx="4">
                  <c:v>2280.66273488372</c:v>
                </c:pt>
                <c:pt idx="5">
                  <c:v>2212.10773488372</c:v>
                </c:pt>
              </c:numCache>
            </c:numRef>
          </c:val>
          <c:smooth val="0"/>
        </c:ser>
        <c:ser>
          <c:idx val="3"/>
          <c:order val="3"/>
          <c:tx>
            <c:strRef>
              <c:f>'T.AJUNTAMENT'!$A$60</c:f>
              <c:strCache>
                <c:ptCount val="1"/>
                <c:pt idx="0">
                  <c:v>Vehicles municipals</c:v>
                </c:pt>
              </c:strCache>
            </c:strRef>
          </c:tx>
          <c:spPr>
            <a:solidFill>
              <a:srgbClr val="3d97af"/>
            </a:solidFill>
            <a:ln w="28440">
              <a:solidFill>
                <a:srgbClr val="3d97af"/>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'T.AJUNTAMENT'!$B$60:$G$60</c:f>
              <c:numCache>
                <c:formatCode>General</c:formatCode>
                <c:ptCount val="6"/>
                <c:pt idx="0">
                  <c:v>798.129805</c:v>
                </c:pt>
                <c:pt idx="1">
                  <c:v>1104.474305</c:v>
                </c:pt>
                <c:pt idx="2">
                  <c:v>1104.474305</c:v>
                </c:pt>
                <c:pt idx="3">
                  <c:v>1104.474305</c:v>
                </c:pt>
                <c:pt idx="4">
                  <c:v>1104.474305</c:v>
                </c:pt>
                <c:pt idx="5">
                  <c:v>1141.423255</c:v>
                </c:pt>
              </c:numCache>
            </c:numRef>
          </c:val>
          <c:smooth val="0"/>
        </c:ser>
        <c:ser>
          <c:idx val="4"/>
          <c:order val="4"/>
          <c:tx>
            <c:strRef>
              <c:f>'T.AJUNTAMENT'!$A$61</c:f>
              <c:strCache>
                <c:ptCount val="1"/>
                <c:pt idx="0">
                  <c:v>Vehicles externalitzats</c:v>
                </c:pt>
              </c:strCache>
            </c:strRef>
          </c:tx>
          <c:spPr>
            <a:solidFill>
              <a:srgbClr val="8ea5ca"/>
            </a:solidFill>
            <a:ln w="28440">
              <a:solidFill>
                <a:srgbClr val="8ea5ca"/>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'T.AJUNTAMENT'!$B$61:$G$61</c:f>
              <c:numCache>
                <c:formatCode>General</c:formatCode>
                <c:ptCount val="6"/>
                <c:pt idx="0">
                  <c:v>577.01049385</c:v>
                </c:pt>
                <c:pt idx="1">
                  <c:v>577.01049385</c:v>
                </c:pt>
                <c:pt idx="2">
                  <c:v>577.01049385</c:v>
                </c:pt>
                <c:pt idx="3">
                  <c:v>577.01049385</c:v>
                </c:pt>
                <c:pt idx="4">
                  <c:v>577.01049385</c:v>
                </c:pt>
                <c:pt idx="5">
                  <c:v>577.01049385</c:v>
                </c:pt>
              </c:numCache>
            </c:numRef>
          </c:val>
          <c:smooth val="0"/>
        </c:ser>
        <c:ser>
          <c:idx val="5"/>
          <c:order val="5"/>
          <c:tx>
            <c:strRef>
              <c:f>'T.AJUNTAMENT'!$A$62</c:f>
              <c:strCache>
                <c:ptCount val="1"/>
                <c:pt idx="0">
                  <c:v>Bombament</c:v>
                </c:pt>
              </c:strCache>
            </c:strRef>
          </c:tx>
          <c:spPr>
            <a:solidFill>
              <a:srgbClr val="cc8f8e"/>
            </a:solidFill>
            <a:ln w="28440">
              <a:solidFill>
                <a:srgbClr val="cc8f8e"/>
              </a:solidFill>
              <a:round/>
            </a:ln>
          </c:spPr>
          <c:marker>
            <c:symbol val="none"/>
          </c:marker>
          <c:dLbls>
            <c:showLegendKey val="0"/>
            <c:showVal val="0"/>
            <c:showCatName val="0"/>
            <c:showSerName val="0"/>
            <c:showPercent val="0"/>
            <c:showLeaderLines val="0"/>
          </c:dLbls>
          <c:cat>
            <c:strRef>
              <c:f>'T.AJUNTAMENT'!$B$56:$G$56</c:f>
              <c:strCache>
                <c:ptCount val="6"/>
                <c:pt idx="0">
                  <c:v>2005</c:v>
                </c:pt>
                <c:pt idx="1">
                  <c:v>2006</c:v>
                </c:pt>
                <c:pt idx="2">
                  <c:v>2007</c:v>
                </c:pt>
                <c:pt idx="3">
                  <c:v>2008</c:v>
                </c:pt>
                <c:pt idx="4">
                  <c:v>2009</c:v>
                </c:pt>
                <c:pt idx="5">
                  <c:v>2010</c:v>
                </c:pt>
              </c:strCache>
            </c:strRef>
          </c:cat>
          <c:val>
            <c:numRef>
              <c:f>'T.AJUNTAMENT'!$B$62:$G$62</c:f>
              <c:numCache>
                <c:formatCode>General</c:formatCode>
                <c:ptCount val="6"/>
                <c:pt idx="0">
                  <c:v>5631.29415</c:v>
                </c:pt>
                <c:pt idx="1">
                  <c:v>6282.35712</c:v>
                </c:pt>
                <c:pt idx="2">
                  <c:v>6378.18426</c:v>
                </c:pt>
                <c:pt idx="3">
                  <c:v>6693.7638</c:v>
                </c:pt>
                <c:pt idx="4">
                  <c:v>6891.7632</c:v>
                </c:pt>
                <c:pt idx="5">
                  <c:v>4016.25713</c:v>
                </c:pt>
              </c:numCache>
            </c:numRef>
          </c:val>
          <c:smooth val="0"/>
        </c:ser>
        <c:hiLowLines>
          <c:spPr>
            <a:ln>
              <a:noFill/>
            </a:ln>
          </c:spPr>
        </c:hiLowLines>
        <c:marker val="0"/>
        <c:axId val="82473573"/>
        <c:axId val="74533139"/>
      </c:lineChart>
      <c:catAx>
        <c:axId val="82473573"/>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4533139"/>
        <c:crosses val="autoZero"/>
        <c:auto val="1"/>
        <c:lblAlgn val="ctr"/>
        <c:lblOffset val="100"/>
      </c:catAx>
      <c:valAx>
        <c:axId val="7453313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2473573"/>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0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305781813326"/>
          <c:y val="0.024220677281901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'T.AJUNTAMENT'!$A$17:$A$22</c:f>
              <c:strCache>
                <c:ptCount val="6"/>
                <c:pt idx="0">
                  <c:v>EE</c:v>
                </c:pt>
                <c:pt idx="1">
                  <c:v>GN</c:v>
                </c:pt>
                <c:pt idx="2">
                  <c:v>GLP</c:v>
                </c:pt>
                <c:pt idx="3">
                  <c:v>Gasoil</c:v>
                </c:pt>
                <c:pt idx="4">
                  <c:v>Gasolina</c:v>
                </c:pt>
                <c:pt idx="5">
                  <c:v>Fueloil</c:v>
                </c:pt>
              </c:strCache>
            </c:strRef>
          </c:cat>
          <c:val>
            <c:numRef>
              <c:f>'T.AJUNTAMENT'!$B$17:$B$22</c:f>
              <c:numCache>
                <c:formatCode>General</c:formatCode>
                <c:ptCount val="6"/>
                <c:pt idx="0">
                  <c:v>8021.30115</c:v>
                </c:pt>
                <c:pt idx="1">
                  <c:v>0</c:v>
                </c:pt>
                <c:pt idx="2">
                  <c:v>172.469534883721</c:v>
                </c:pt>
                <c:pt idx="3">
                  <c:v>1849.50110385</c:v>
                </c:pt>
                <c:pt idx="4">
                  <c:v>214.336395</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0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24358974359"/>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'T.AJUNTAMENT'!$A$17:$A$22</c:f>
              <c:strCache>
                <c:ptCount val="6"/>
                <c:pt idx="0">
                  <c:v>EE</c:v>
                </c:pt>
                <c:pt idx="1">
                  <c:v>GN</c:v>
                </c:pt>
                <c:pt idx="2">
                  <c:v>GLP</c:v>
                </c:pt>
                <c:pt idx="3">
                  <c:v>Gasoil</c:v>
                </c:pt>
                <c:pt idx="4">
                  <c:v>Gasolina</c:v>
                </c:pt>
                <c:pt idx="5">
                  <c:v>Fueloil</c:v>
                </c:pt>
              </c:strCache>
            </c:strRef>
          </c:cat>
          <c:val>
            <c:numRef>
              <c:f>'T.AJUNTAMENT'!$F$17:$F$22</c:f>
              <c:numCache>
                <c:formatCode>General</c:formatCode>
                <c:ptCount val="6"/>
                <c:pt idx="0">
                  <c:v>9281.7222</c:v>
                </c:pt>
                <c:pt idx="1">
                  <c:v>0</c:v>
                </c:pt>
                <c:pt idx="2">
                  <c:v>172.469534883721</c:v>
                </c:pt>
                <c:pt idx="3">
                  <c:v>2023.16116885</c:v>
                </c:pt>
                <c:pt idx="4">
                  <c:v>347.02083</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0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305781813326"/>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'T.AJUNTAMENT'!$A$37:$A$42</c:f>
              <c:strCache>
                <c:ptCount val="6"/>
                <c:pt idx="0">
                  <c:v>EE</c:v>
                </c:pt>
                <c:pt idx="1">
                  <c:v>GN</c:v>
                </c:pt>
                <c:pt idx="2">
                  <c:v>GLP</c:v>
                </c:pt>
                <c:pt idx="3">
                  <c:v>Gasoil</c:v>
                </c:pt>
                <c:pt idx="4">
                  <c:v>Gasolina</c:v>
                </c:pt>
                <c:pt idx="5">
                  <c:v>Fueloil</c:v>
                </c:pt>
              </c:strCache>
            </c:strRef>
          </c:cat>
          <c:val>
            <c:numRef>
              <c:f>'T.AJUNTAMENT'!$B$37:$B$42</c:f>
              <c:numCache>
                <c:formatCode>General</c:formatCode>
                <c:ptCount val="6"/>
                <c:pt idx="0">
                  <c:v>6768.37391037</c:v>
                </c:pt>
                <c:pt idx="1">
                  <c:v>0</c:v>
                </c:pt>
                <c:pt idx="2">
                  <c:v>39.1505844186047</c:v>
                </c:pt>
                <c:pt idx="3">
                  <c:v>493.81679472795</c:v>
                </c:pt>
                <c:pt idx="4">
                  <c:v>53.369762355</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0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24358974359"/>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'T.AJUNTAMENT'!$A$37:$A$42</c:f>
              <c:strCache>
                <c:ptCount val="6"/>
                <c:pt idx="0">
                  <c:v>EE</c:v>
                </c:pt>
                <c:pt idx="1">
                  <c:v>GN</c:v>
                </c:pt>
                <c:pt idx="2">
                  <c:v>GLP</c:v>
                </c:pt>
                <c:pt idx="3">
                  <c:v>Gasoil</c:v>
                </c:pt>
                <c:pt idx="4">
                  <c:v>Gasolina</c:v>
                </c:pt>
                <c:pt idx="5">
                  <c:v>Fueloil</c:v>
                </c:pt>
              </c:strCache>
            </c:strRef>
          </c:cat>
          <c:val>
            <c:numRef>
              <c:f>'T.AJUNTAMENT'!$F$37:$F$42</c:f>
              <c:numCache>
                <c:formatCode>General</c:formatCode>
                <c:ptCount val="6"/>
                <c:pt idx="0">
                  <c:v>7871.82859782</c:v>
                </c:pt>
                <c:pt idx="1">
                  <c:v>0</c:v>
                </c:pt>
                <c:pt idx="2">
                  <c:v>39.1505844186047</c:v>
                </c:pt>
                <c:pt idx="3">
                  <c:v>540.18403208295</c:v>
                </c:pt>
                <c:pt idx="4">
                  <c:v>86.40818667</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0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01106762046"/>
          <c:y val="0.0240332095258903"/>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'T.AJUNTAMENT'!$A$57:$A$62</c:f>
              <c:strCache>
                <c:ptCount val="6"/>
                <c:pt idx="0">
                  <c:v>Enllumenat públic</c:v>
                </c:pt>
                <c:pt idx="1">
                  <c:v>Semàfors</c:v>
                </c:pt>
                <c:pt idx="2">
                  <c:v>Equipaments</c:v>
                </c:pt>
                <c:pt idx="3">
                  <c:v>Vehicles municipals</c:v>
                </c:pt>
                <c:pt idx="4">
                  <c:v>Vehicles externalitzats</c:v>
                </c:pt>
                <c:pt idx="5">
                  <c:v>Bombament</c:v>
                </c:pt>
              </c:strCache>
            </c:strRef>
          </c:cat>
          <c:val>
            <c:numRef>
              <c:f>'T.AJUNTAMENT'!$B$57:$B$62</c:f>
              <c:numCache>
                <c:formatCode>General</c:formatCode>
                <c:ptCount val="6"/>
                <c:pt idx="0">
                  <c:v>835.611</c:v>
                </c:pt>
                <c:pt idx="1">
                  <c:v>7.008</c:v>
                </c:pt>
                <c:pt idx="2">
                  <c:v>2408.55473488372</c:v>
                </c:pt>
                <c:pt idx="3">
                  <c:v>798.129805</c:v>
                </c:pt>
                <c:pt idx="4">
                  <c:v>577.01049385</c:v>
                </c:pt>
                <c:pt idx="5">
                  <c:v>5631.29415</c:v>
                </c:pt>
              </c:numCache>
            </c:numRef>
          </c:val>
        </c:ser>
      </c:pie3DChart>
      <c:spPr>
        <a:solidFill>
          <a:srgbClr val="d9d9d9"/>
        </a:solidFill>
        <a:ln>
          <a:noFill/>
        </a:ln>
      </c:spPr>
    </c:plotArea>
    <c:legend>
      <c:layout>
        <c:manualLayout>
          <c:xMode val="edge"/>
          <c:yMode val="edge"/>
          <c:x val="0.692536104737481"/>
          <c:y val="0.0144199257155342"/>
        </c:manualLayout>
      </c:layout>
      <c:spPr>
        <a:noFill/>
        <a:ln>
          <a:noFill/>
        </a:ln>
      </c:spPr>
    </c:legend>
    <c:plotVisOnly val="1"/>
    <c:dispBlanksAs val="zero"/>
  </c:chart>
  <c:spPr>
    <a:solidFill>
      <a:srgbClr val="ffffff"/>
    </a:solidFill>
    <a:ln>
      <a:noFill/>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MUNICIPI'!$A$46:$A$50</c:f>
              <c:strCache>
                <c:ptCount val="5"/>
                <c:pt idx="0">
                  <c:v>EE</c:v>
                </c:pt>
                <c:pt idx="1">
                  <c:v>GLP</c:v>
                </c:pt>
                <c:pt idx="2">
                  <c:v>Gasoil</c:v>
                </c:pt>
                <c:pt idx="3">
                  <c:v>Gasolina</c:v>
                </c:pt>
                <c:pt idx="4">
                  <c:v>Fueloil</c:v>
                </c:pt>
              </c:strCache>
            </c:strRef>
          </c:cat>
          <c:val>
            <c:numRef>
              <c:f>'T. MUNICIPI'!$B$46:$B$50</c:f>
              <c:numCache>
                <c:formatCode>General</c:formatCode>
                <c:ptCount val="5"/>
                <c:pt idx="0">
                  <c:v>65500.8188</c:v>
                </c:pt>
                <c:pt idx="1">
                  <c:v>2914.37496356828</c:v>
                </c:pt>
                <c:pt idx="2">
                  <c:v>30869.2682278414</c:v>
                </c:pt>
                <c:pt idx="3">
                  <c:v>8674.37102990949</c:v>
                </c:pt>
                <c:pt idx="4">
                  <c:v>943.914562292007</c:v>
                </c:pt>
              </c:numCache>
            </c:numRef>
          </c:val>
        </c:ser>
      </c:pie3DChart>
      <c:spPr>
        <a:solidFill>
          <a:srgbClr val="d9d9d9"/>
        </a:solidFill>
        <a:ln>
          <a:noFill/>
        </a:ln>
      </c:spPr>
    </c:plotArea>
    <c:legend>
      <c:layout>
        <c:manualLayout>
          <c:xMode val="edge"/>
          <c:yMode val="edge"/>
          <c:x val="0.744600431965443"/>
          <c:y val="0.269492293744334"/>
        </c:manualLayout>
      </c:layout>
      <c:spPr>
        <a:noFill/>
        <a:ln>
          <a:noFill/>
        </a:ln>
      </c:spPr>
    </c:legend>
    <c:plotVisOnly val="1"/>
    <c:dispBlanksAs val="zero"/>
  </c:chart>
  <c:spPr>
    <a:solidFill>
      <a:srgbClr val="ffffff"/>
    </a:solidFill>
    <a:ln>
      <a:noFill/>
    </a:ln>
  </c:spPr>
</c:chartSpace>
</file>

<file path=xl/charts/chart1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0332095258903"/>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'T.AJUNTAMENT'!$A$57:$A$62</c:f>
              <c:strCache>
                <c:ptCount val="6"/>
                <c:pt idx="0">
                  <c:v>Enllumenat públic</c:v>
                </c:pt>
                <c:pt idx="1">
                  <c:v>Semàfors</c:v>
                </c:pt>
                <c:pt idx="2">
                  <c:v>Equipaments</c:v>
                </c:pt>
                <c:pt idx="3">
                  <c:v>Vehicles municipals</c:v>
                </c:pt>
                <c:pt idx="4">
                  <c:v>Vehicles externalitzats</c:v>
                </c:pt>
                <c:pt idx="5">
                  <c:v>Bombament</c:v>
                </c:pt>
              </c:strCache>
            </c:strRef>
          </c:cat>
          <c:val>
            <c:numRef>
              <c:f>'T.AJUNTAMENT'!$F$57:$F$62</c:f>
              <c:numCache>
                <c:formatCode>General</c:formatCode>
                <c:ptCount val="6"/>
                <c:pt idx="0">
                  <c:v>963.455</c:v>
                </c:pt>
                <c:pt idx="1">
                  <c:v>7.008</c:v>
                </c:pt>
                <c:pt idx="2">
                  <c:v>2280.66273488372</c:v>
                </c:pt>
                <c:pt idx="3">
                  <c:v>1104.474305</c:v>
                </c:pt>
                <c:pt idx="4">
                  <c:v>577.01049385</c:v>
                </c:pt>
                <c:pt idx="5">
                  <c:v>6891.7632</c:v>
                </c:pt>
              </c:numCache>
            </c:numRef>
          </c:val>
        </c:ser>
      </c:pie3DChart>
      <c:spPr>
        <a:solidFill>
          <a:srgbClr val="d9d9d9"/>
        </a:solidFill>
        <a:ln>
          <a:noFill/>
        </a:ln>
      </c:spPr>
    </c:plotArea>
    <c:legend>
      <c:layout>
        <c:manualLayout>
          <c:xMode val="edge"/>
          <c:yMode val="edge"/>
          <c:x val="0.692494600431965"/>
          <c:y val="0.0144199257155342"/>
        </c:manualLayout>
      </c:layout>
      <c:spPr>
        <a:noFill/>
        <a:ln>
          <a:noFill/>
        </a:ln>
      </c:spPr>
    </c:legend>
    <c:plotVisOnly val="1"/>
    <c:dispBlanksAs val="zero"/>
  </c:chart>
  <c:spPr>
    <a:solidFill>
      <a:srgbClr val="ffffff"/>
    </a:solidFill>
    <a:ln>
      <a:noFill/>
    </a:ln>
  </c:spPr>
</c:chartSpace>
</file>

<file path=xl/charts/chart11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1456408533513"/>
          <c:w val="0.556370153144347"/>
          <c:h val="0.758273139593482"/>
        </c:manualLayout>
      </c:layout>
      <c:barChart>
        <c:barDir val="col"/>
        <c:grouping val="stacked"/>
        <c:varyColors val="0"/>
        <c:ser>
          <c:idx val="0"/>
          <c:order val="0"/>
          <c:tx>
            <c:strRef>
              <c:f>'T.AJUNTAMENT'!$A$77</c:f>
              <c:strCache>
                <c:ptCount val="1"/>
                <c:pt idx="0">
                  <c:v>Enllumenat públic</c:v>
                </c:pt>
              </c:strCache>
            </c:strRef>
          </c:tx>
          <c:spPr>
            <a:solidFill>
              <a:srgbClr val="4299b0"/>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'T.AJUNTAMENT'!$B$77:$G$77</c:f>
              <c:numCache>
                <c:formatCode>General</c:formatCode>
                <c:ptCount val="6"/>
                <c:pt idx="0">
                  <c:v>705.0885618</c:v>
                </c:pt>
                <c:pt idx="1">
                  <c:v>948.0498432</c:v>
                </c:pt>
                <c:pt idx="2">
                  <c:v>701.5264914</c:v>
                </c:pt>
                <c:pt idx="3">
                  <c:v>858.501248</c:v>
                </c:pt>
                <c:pt idx="4">
                  <c:v>817.1061855</c:v>
                </c:pt>
                <c:pt idx="5">
                  <c:v>689.9573373</c:v>
                </c:pt>
              </c:numCache>
            </c:numRef>
          </c:val>
        </c:ser>
        <c:ser>
          <c:idx val="1"/>
          <c:order val="1"/>
          <c:tx>
            <c:strRef>
              <c:f>'T.AJUNTAMENT'!$A$78</c:f>
              <c:strCache>
                <c:ptCount val="1"/>
                <c:pt idx="0">
                  <c:v>Semàfors</c:v>
                </c:pt>
              </c:strCache>
            </c:strRef>
          </c:tx>
          <c:spPr>
            <a:solidFill>
              <a:srgbClr val="725990"/>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'T.AJUNTAMENT'!$B$78:$G$78</c:f>
              <c:numCache>
                <c:formatCode>General</c:formatCode>
                <c:ptCount val="6"/>
                <c:pt idx="0">
                  <c:v>5.9133504</c:v>
                </c:pt>
                <c:pt idx="1">
                  <c:v>6.3660672</c:v>
                </c:pt>
                <c:pt idx="2">
                  <c:v>5.7542688</c:v>
                </c:pt>
                <c:pt idx="3">
                  <c:v>5.7970176</c:v>
                </c:pt>
                <c:pt idx="4">
                  <c:v>5.9434848</c:v>
                </c:pt>
                <c:pt idx="5">
                  <c:v>5.9434848</c:v>
                </c:pt>
              </c:numCache>
            </c:numRef>
          </c:val>
        </c:ser>
        <c:ser>
          <c:idx val="2"/>
          <c:order val="2"/>
          <c:tx>
            <c:strRef>
              <c:f>'T.AJUNTAMENT'!$A$79</c:f>
              <c:strCache>
                <c:ptCount val="1"/>
                <c:pt idx="0">
                  <c:v>Equipaments</c:v>
                </c:pt>
              </c:strCache>
            </c:strRef>
          </c:tx>
          <c:spPr>
            <a:solidFill>
              <a:srgbClr val="8aa64f"/>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'T.AJUNTAMENT'!$B$79:$G$79</c:f>
              <c:numCache>
                <c:formatCode>General</c:formatCode>
                <c:ptCount val="6"/>
                <c:pt idx="0">
                  <c:v>1528.7187312186</c:v>
                </c:pt>
                <c:pt idx="1">
                  <c:v>1525.7292072186</c:v>
                </c:pt>
                <c:pt idx="2">
                  <c:v>1441.0368759186</c:v>
                </c:pt>
                <c:pt idx="3">
                  <c:v>1442.2320632186</c:v>
                </c:pt>
                <c:pt idx="4">
                  <c:v>1426.9072944186</c:v>
                </c:pt>
                <c:pt idx="5">
                  <c:v>1368.7657989186</c:v>
                </c:pt>
              </c:numCache>
            </c:numRef>
          </c:val>
        </c:ser>
        <c:ser>
          <c:idx val="3"/>
          <c:order val="3"/>
          <c:tx>
            <c:strRef>
              <c:f>'T.AJUNTAMENT'!$A$80</c:f>
              <c:strCache>
                <c:ptCount val="1"/>
                <c:pt idx="0">
                  <c:v>Vehicles municipals</c:v>
                </c:pt>
              </c:strCache>
            </c:strRef>
          </c:tx>
          <c:spPr>
            <a:solidFill>
              <a:srgbClr val="ab4744"/>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'T.AJUNTAMENT'!$B$80:$G$80</c:f>
              <c:numCache>
                <c:formatCode>General</c:formatCode>
                <c:ptCount val="6"/>
                <c:pt idx="0">
                  <c:v>209.242602825</c:v>
                </c:pt>
                <c:pt idx="1">
                  <c:v>288.648264495</c:v>
                </c:pt>
                <c:pt idx="2">
                  <c:v>288.648264495</c:v>
                </c:pt>
                <c:pt idx="3">
                  <c:v>288.648264495</c:v>
                </c:pt>
                <c:pt idx="4">
                  <c:v>288.648264495</c:v>
                </c:pt>
                <c:pt idx="5">
                  <c:v>298.513634145</c:v>
                </c:pt>
              </c:numCache>
            </c:numRef>
          </c:val>
        </c:ser>
        <c:ser>
          <c:idx val="4"/>
          <c:order val="4"/>
          <c:tx>
            <c:strRef>
              <c:f>'T.AJUNTAMENT'!$A$81</c:f>
              <c:strCache>
                <c:ptCount val="1"/>
                <c:pt idx="0">
                  <c:v>Vehicles externalitzats</c:v>
                </c:pt>
              </c:strCache>
            </c:strRef>
          </c:tx>
          <c:spPr>
            <a:solidFill>
              <a:srgbClr val="4672a8"/>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'T.AJUNTAMENT'!$B$81:$G$81</c:f>
              <c:numCache>
                <c:formatCode>General</c:formatCode>
                <c:ptCount val="6"/>
                <c:pt idx="0">
                  <c:v>154.06180185795</c:v>
                </c:pt>
                <c:pt idx="1">
                  <c:v>154.06180185795</c:v>
                </c:pt>
                <c:pt idx="2">
                  <c:v>154.06180185795</c:v>
                </c:pt>
                <c:pt idx="3">
                  <c:v>154.06180185795</c:v>
                </c:pt>
                <c:pt idx="4">
                  <c:v>154.06180185795</c:v>
                </c:pt>
                <c:pt idx="5">
                  <c:v>154.06180185795</c:v>
                </c:pt>
              </c:numCache>
            </c:numRef>
          </c:val>
        </c:ser>
        <c:ser>
          <c:idx val="5"/>
          <c:order val="5"/>
          <c:tx>
            <c:strRef>
              <c:f>'T.AJUNTAMENT'!$A$82</c:f>
              <c:strCache>
                <c:ptCount val="1"/>
                <c:pt idx="0">
                  <c:v>Bombament</c:v>
                </c:pt>
              </c:strCache>
            </c:strRef>
          </c:tx>
          <c:spPr>
            <a:solidFill>
              <a:srgbClr val="dc853e"/>
            </a:solidFill>
            <a:ln>
              <a:noFill/>
            </a:ln>
          </c:spPr>
          <c:invertIfNegative val="0"/>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'T.AJUNTAMENT'!$B$82:$G$82</c:f>
              <c:numCache>
                <c:formatCode>General</c:formatCode>
                <c:ptCount val="6"/>
                <c:pt idx="0">
                  <c:v>4751.68600377</c:v>
                </c:pt>
                <c:pt idx="1">
                  <c:v>5706.893207808</c:v>
                </c:pt>
                <c:pt idx="2">
                  <c:v>5237.127095886</c:v>
                </c:pt>
                <c:pt idx="3">
                  <c:v>5537.08141536</c:v>
                </c:pt>
                <c:pt idx="4">
                  <c:v>5844.90436992</c:v>
                </c:pt>
                <c:pt idx="5">
                  <c:v>3406.187671953</c:v>
                </c:pt>
              </c:numCache>
            </c:numRef>
          </c:val>
        </c:ser>
        <c:gapWidth val="150"/>
        <c:overlap val="100"/>
        <c:axId val="29463100"/>
        <c:axId val="81075945"/>
      </c:barChart>
      <c:catAx>
        <c:axId val="29463100"/>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1075945"/>
        <c:crosses val="autoZero"/>
        <c:auto val="1"/>
        <c:lblAlgn val="ctr"/>
        <c:lblOffset val="100"/>
      </c:catAx>
      <c:valAx>
        <c:axId val="81075945"/>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9463100"/>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12.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'T.AJUNTAMENT'!$A$77</c:f>
              <c:strCache>
                <c:ptCount val="1"/>
                <c:pt idx="0">
                  <c:v>Enllumenat públic</c:v>
                </c:pt>
              </c:strCache>
            </c:strRef>
          </c:tx>
          <c:spPr>
            <a:solidFill>
              <a:srgbClr val="426fa6"/>
            </a:solidFill>
            <a:ln w="28440">
              <a:solidFill>
                <a:srgbClr val="426fa6"/>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'T.AJUNTAMENT'!$B$77:$G$77</c:f>
              <c:numCache>
                <c:formatCode>General</c:formatCode>
                <c:ptCount val="6"/>
                <c:pt idx="0">
                  <c:v>705.0885618</c:v>
                </c:pt>
                <c:pt idx="1">
                  <c:v>948.0498432</c:v>
                </c:pt>
                <c:pt idx="2">
                  <c:v>701.5264914</c:v>
                </c:pt>
                <c:pt idx="3">
                  <c:v>858.501248</c:v>
                </c:pt>
                <c:pt idx="4">
                  <c:v>817.1061855</c:v>
                </c:pt>
                <c:pt idx="5">
                  <c:v>689.9573373</c:v>
                </c:pt>
              </c:numCache>
            </c:numRef>
          </c:val>
          <c:smooth val="0"/>
        </c:ser>
        <c:ser>
          <c:idx val="1"/>
          <c:order val="1"/>
          <c:tx>
            <c:strRef>
              <c:f>'T.AJUNTAMENT'!$A$78</c:f>
              <c:strCache>
                <c:ptCount val="1"/>
                <c:pt idx="0">
                  <c:v>Semàfors</c:v>
                </c:pt>
              </c:strCache>
            </c:strRef>
          </c:tx>
          <c:spPr>
            <a:solidFill>
              <a:srgbClr val="aa433f"/>
            </a:solidFill>
            <a:ln w="28440">
              <a:solidFill>
                <a:srgbClr val="aa433f"/>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'T.AJUNTAMENT'!$B$78:$G$78</c:f>
              <c:numCache>
                <c:formatCode>General</c:formatCode>
                <c:ptCount val="6"/>
                <c:pt idx="0">
                  <c:v>5.9133504</c:v>
                </c:pt>
                <c:pt idx="1">
                  <c:v>6.3660672</c:v>
                </c:pt>
                <c:pt idx="2">
                  <c:v>5.7542688</c:v>
                </c:pt>
                <c:pt idx="3">
                  <c:v>5.7970176</c:v>
                </c:pt>
                <c:pt idx="4">
                  <c:v>5.9434848</c:v>
                </c:pt>
                <c:pt idx="5">
                  <c:v>5.9434848</c:v>
                </c:pt>
              </c:numCache>
            </c:numRef>
          </c:val>
          <c:smooth val="0"/>
        </c:ser>
        <c:ser>
          <c:idx val="2"/>
          <c:order val="2"/>
          <c:tx>
            <c:strRef>
              <c:f>'T.AJUNTAMENT'!$A$79</c:f>
              <c:strCache>
                <c:ptCount val="1"/>
                <c:pt idx="0">
                  <c:v>Equipaments</c:v>
                </c:pt>
              </c:strCache>
            </c:strRef>
          </c:tx>
          <c:spPr>
            <a:solidFill>
              <a:srgbClr val="87a44b"/>
            </a:solidFill>
            <a:ln w="28440">
              <a:solidFill>
                <a:srgbClr val="87a44b"/>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'T.AJUNTAMENT'!$B$79:$G$79</c:f>
              <c:numCache>
                <c:formatCode>General</c:formatCode>
                <c:ptCount val="6"/>
                <c:pt idx="0">
                  <c:v>1528.7187312186</c:v>
                </c:pt>
                <c:pt idx="1">
                  <c:v>1525.7292072186</c:v>
                </c:pt>
                <c:pt idx="2">
                  <c:v>1441.0368759186</c:v>
                </c:pt>
                <c:pt idx="3">
                  <c:v>1442.2320632186</c:v>
                </c:pt>
                <c:pt idx="4">
                  <c:v>1426.9072944186</c:v>
                </c:pt>
                <c:pt idx="5">
                  <c:v>1368.7657989186</c:v>
                </c:pt>
              </c:numCache>
            </c:numRef>
          </c:val>
          <c:smooth val="0"/>
        </c:ser>
        <c:ser>
          <c:idx val="3"/>
          <c:order val="3"/>
          <c:tx>
            <c:strRef>
              <c:f>'T.AJUNTAMENT'!$A$80</c:f>
              <c:strCache>
                <c:ptCount val="1"/>
                <c:pt idx="0">
                  <c:v>Vehicles municipals</c:v>
                </c:pt>
              </c:strCache>
            </c:strRef>
          </c:tx>
          <c:spPr>
            <a:solidFill>
              <a:srgbClr val="6f568d"/>
            </a:solidFill>
            <a:ln w="28440">
              <a:solidFill>
                <a:srgbClr val="6f568d"/>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'T.AJUNTAMENT'!$B$80:$G$80</c:f>
              <c:numCache>
                <c:formatCode>General</c:formatCode>
                <c:ptCount val="6"/>
                <c:pt idx="0">
                  <c:v>209.242602825</c:v>
                </c:pt>
                <c:pt idx="1">
                  <c:v>288.648264495</c:v>
                </c:pt>
                <c:pt idx="2">
                  <c:v>288.648264495</c:v>
                </c:pt>
                <c:pt idx="3">
                  <c:v>288.648264495</c:v>
                </c:pt>
                <c:pt idx="4">
                  <c:v>288.648264495</c:v>
                </c:pt>
                <c:pt idx="5">
                  <c:v>298.513634145</c:v>
                </c:pt>
              </c:numCache>
            </c:numRef>
          </c:val>
          <c:smooth val="0"/>
        </c:ser>
        <c:ser>
          <c:idx val="4"/>
          <c:order val="4"/>
          <c:tx>
            <c:strRef>
              <c:f>'T.AJUNTAMENT'!$A$81</c:f>
              <c:strCache>
                <c:ptCount val="1"/>
                <c:pt idx="0">
                  <c:v>Vehicles externalitzats</c:v>
                </c:pt>
              </c:strCache>
            </c:strRef>
          </c:tx>
          <c:spPr>
            <a:solidFill>
              <a:srgbClr val="3d97af"/>
            </a:solidFill>
            <a:ln w="28440">
              <a:solidFill>
                <a:srgbClr val="3d97af"/>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'T.AJUNTAMENT'!$B$81:$G$81</c:f>
              <c:numCache>
                <c:formatCode>General</c:formatCode>
                <c:ptCount val="6"/>
                <c:pt idx="0">
                  <c:v>154.06180185795</c:v>
                </c:pt>
                <c:pt idx="1">
                  <c:v>154.06180185795</c:v>
                </c:pt>
                <c:pt idx="2">
                  <c:v>154.06180185795</c:v>
                </c:pt>
                <c:pt idx="3">
                  <c:v>154.06180185795</c:v>
                </c:pt>
                <c:pt idx="4">
                  <c:v>154.06180185795</c:v>
                </c:pt>
                <c:pt idx="5">
                  <c:v>154.06180185795</c:v>
                </c:pt>
              </c:numCache>
            </c:numRef>
          </c:val>
          <c:smooth val="0"/>
        </c:ser>
        <c:ser>
          <c:idx val="5"/>
          <c:order val="5"/>
          <c:tx>
            <c:strRef>
              <c:f>'T.AJUNTAMENT'!$A$82</c:f>
              <c:strCache>
                <c:ptCount val="1"/>
                <c:pt idx="0">
                  <c:v>Bombament</c:v>
                </c:pt>
              </c:strCache>
            </c:strRef>
          </c:tx>
          <c:spPr>
            <a:solidFill>
              <a:srgbClr val="8ea5ca"/>
            </a:solidFill>
            <a:ln w="28440">
              <a:solidFill>
                <a:srgbClr val="8ea5ca"/>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'T.AJUNTAMENT'!$B$82:$G$82</c:f>
              <c:numCache>
                <c:formatCode>General</c:formatCode>
                <c:ptCount val="6"/>
                <c:pt idx="0">
                  <c:v>4751.68600377</c:v>
                </c:pt>
                <c:pt idx="1">
                  <c:v>5706.893207808</c:v>
                </c:pt>
                <c:pt idx="2">
                  <c:v>5237.127095886</c:v>
                </c:pt>
                <c:pt idx="3">
                  <c:v>5537.08141536</c:v>
                </c:pt>
                <c:pt idx="4">
                  <c:v>5844.90436992</c:v>
                </c:pt>
                <c:pt idx="5">
                  <c:v>3406.187671953</c:v>
                </c:pt>
              </c:numCache>
            </c:numRef>
          </c:val>
          <c:smooth val="0"/>
        </c:ser>
        <c:hiLowLines>
          <c:spPr>
            <a:ln>
              <a:noFill/>
            </a:ln>
          </c:spPr>
        </c:hiLowLines>
        <c:marker val="0"/>
        <c:axId val="51619986"/>
        <c:axId val="54386956"/>
      </c:lineChart>
      <c:catAx>
        <c:axId val="51619986"/>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4386956"/>
        <c:crosses val="autoZero"/>
        <c:auto val="1"/>
        <c:lblAlgn val="ctr"/>
        <c:lblOffset val="100"/>
      </c:catAx>
      <c:valAx>
        <c:axId val="5438695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1619986"/>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39" spc="-1" strike="noStrike">
                <a:solidFill>
                  <a:srgbClr val="000000"/>
                </a:solidFill>
                <a:uFill>
                  <a:solidFill>
                    <a:srgbClr val="ffffff"/>
                  </a:solidFill>
                </a:uFill>
                <a:latin typeface="Calibri"/>
              </a:defRPr>
            </a:pPr>
            <a:r>
              <a:rPr b="1" sz="839" spc="-1" strike="noStrike">
                <a:solidFill>
                  <a:srgbClr val="000000"/>
                </a:solidFill>
                <a:uFill>
                  <a:solidFill>
                    <a:srgbClr val="ffffff"/>
                  </a:solidFill>
                </a:uFill>
                <a:latin typeface="Calibri"/>
              </a:rPr>
              <a:t>Any 2005</a:t>
            </a:r>
          </a:p>
        </c:rich>
      </c:tx>
      <c:layout>
        <c:manualLayout>
          <c:xMode val="edge"/>
          <c:yMode val="edge"/>
          <c:x val="0.390201106762046"/>
          <c:y val="0.023651635720601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c0504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'T.AJUNTAMENT'!$A$77:$A$82</c:f>
              <c:strCache>
                <c:ptCount val="6"/>
                <c:pt idx="0">
                  <c:v>Enllumenat públic</c:v>
                </c:pt>
                <c:pt idx="1">
                  <c:v>Semàfors</c:v>
                </c:pt>
                <c:pt idx="2">
                  <c:v>Equipaments</c:v>
                </c:pt>
                <c:pt idx="3">
                  <c:v>Vehicles municipals</c:v>
                </c:pt>
                <c:pt idx="4">
                  <c:v>Vehicles externalitzats</c:v>
                </c:pt>
                <c:pt idx="5">
                  <c:v>Bombament</c:v>
                </c:pt>
              </c:strCache>
            </c:strRef>
          </c:cat>
          <c:val>
            <c:numRef>
              <c:f>'T.AJUNTAMENT'!$B$77:$B$82</c:f>
              <c:numCache>
                <c:formatCode>General</c:formatCode>
                <c:ptCount val="6"/>
                <c:pt idx="0">
                  <c:v>705.0885618</c:v>
                </c:pt>
                <c:pt idx="1">
                  <c:v>5.9133504</c:v>
                </c:pt>
                <c:pt idx="2">
                  <c:v>1528.7187312186</c:v>
                </c:pt>
                <c:pt idx="3">
                  <c:v>209.242602825</c:v>
                </c:pt>
                <c:pt idx="4">
                  <c:v>154.06180185795</c:v>
                </c:pt>
                <c:pt idx="5">
                  <c:v>4751.68600377</c:v>
                </c:pt>
              </c:numCache>
            </c:numRef>
          </c:val>
        </c:ser>
      </c:pie3DChart>
      <c:spPr>
        <a:solidFill>
          <a:srgbClr val="d9d9d9"/>
        </a:solidFill>
        <a:ln>
          <a:noFill/>
        </a:ln>
      </c:spPr>
    </c:plotArea>
    <c:legend>
      <c:layout>
        <c:manualLayout>
          <c:xMode val="edge"/>
          <c:yMode val="edge"/>
          <c:x val="0.563638817654204"/>
          <c:y val="0.0499557913351017"/>
        </c:manualLayout>
      </c:layout>
      <c:spPr>
        <a:noFill/>
        <a:ln>
          <a:noFill/>
        </a:ln>
      </c:spPr>
    </c:legend>
    <c:plotVisOnly val="1"/>
    <c:dispBlanksAs val="zero"/>
  </c:chart>
  <c:spPr>
    <a:solidFill>
      <a:srgbClr val="ffffff"/>
    </a:solidFill>
    <a:ln>
      <a:noFill/>
    </a:ln>
  </c:spPr>
</c:chartSpace>
</file>

<file path=xl/charts/chart1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3872679045092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'T.AJUNTAMENT'!$A$77:$A$82</c:f>
              <c:strCache>
                <c:ptCount val="6"/>
                <c:pt idx="0">
                  <c:v>Enllumenat públic</c:v>
                </c:pt>
                <c:pt idx="1">
                  <c:v>Semàfors</c:v>
                </c:pt>
                <c:pt idx="2">
                  <c:v>Equipaments</c:v>
                </c:pt>
                <c:pt idx="3">
                  <c:v>Vehicles municipals</c:v>
                </c:pt>
                <c:pt idx="4">
                  <c:v>Vehicles externalitzats</c:v>
                </c:pt>
                <c:pt idx="5">
                  <c:v>Bombament</c:v>
                </c:pt>
              </c:strCache>
            </c:strRef>
          </c:cat>
          <c:val>
            <c:numRef>
              <c:f>'T.AJUNTAMENT'!$F$77:$F$82</c:f>
              <c:numCache>
                <c:formatCode>General</c:formatCode>
                <c:ptCount val="6"/>
                <c:pt idx="0">
                  <c:v>817.1061855</c:v>
                </c:pt>
                <c:pt idx="1">
                  <c:v>5.9434848</c:v>
                </c:pt>
                <c:pt idx="2">
                  <c:v>1426.9072944186</c:v>
                </c:pt>
                <c:pt idx="3">
                  <c:v>288.648264495</c:v>
                </c:pt>
                <c:pt idx="4">
                  <c:v>154.06180185795</c:v>
                </c:pt>
                <c:pt idx="5">
                  <c:v>5844.90436992</c:v>
                </c:pt>
              </c:numCache>
            </c:numRef>
          </c:val>
        </c:ser>
      </c:pie3DChart>
      <c:spPr>
        <a:solidFill>
          <a:srgbClr val="d9d9d9"/>
        </a:solidFill>
        <a:ln>
          <a:noFill/>
        </a:ln>
      </c:spPr>
    </c:plotArea>
    <c:legend>
      <c:layout>
        <c:manualLayout>
          <c:xMode val="edge"/>
          <c:yMode val="edge"/>
          <c:x val="0.602051835853132"/>
          <c:y val="0.0026525198938992"/>
        </c:manualLayout>
      </c:layout>
      <c:spPr>
        <a:noFill/>
        <a:ln>
          <a:noFill/>
        </a:ln>
      </c:spPr>
    </c:legend>
    <c:plotVisOnly val="1"/>
    <c:dispBlanksAs val="zero"/>
  </c:chart>
  <c:spPr>
    <a:solidFill>
      <a:srgbClr val="ffffff"/>
    </a:solidFill>
    <a:ln>
      <a:noFill/>
    </a:ln>
  </c:spPr>
</c:chartSpace>
</file>

<file path=xl/charts/chart11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0558530986993"/>
          <c:w val="0.679048550016292"/>
          <c:h val="0.758377964804897"/>
        </c:manualLayout>
      </c:layout>
      <c:barChart>
        <c:barDir val="col"/>
        <c:grouping val="stacked"/>
        <c:varyColors val="0"/>
        <c:ser>
          <c:idx val="0"/>
          <c:order val="0"/>
          <c:tx>
            <c:strRef>
              <c:f>'T.AJUNTAMENT'!$A$157</c:f>
              <c:strCache>
                <c:ptCount val="1"/>
                <c:pt idx="0">
                  <c:v>EE</c:v>
                </c:pt>
              </c:strCache>
            </c:strRef>
          </c:tx>
          <c:spPr>
            <a:solidFill>
              <a:srgbClr val="8aa64f"/>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'T.AJUNTAMENT'!$B$157:$G$157</c:f>
              <c:numCache>
                <c:formatCode>General</c:formatCode>
                <c:ptCount val="6"/>
                <c:pt idx="0">
                  <c:v>1547.388</c:v>
                </c:pt>
                <c:pt idx="1">
                  <c:v>1434.056</c:v>
                </c:pt>
                <c:pt idx="2">
                  <c:v>1483.381</c:v>
                </c:pt>
                <c:pt idx="3">
                  <c:v>1473.887</c:v>
                </c:pt>
                <c:pt idx="4">
                  <c:v>1419.496</c:v>
                </c:pt>
                <c:pt idx="5">
                  <c:v>1350.941</c:v>
                </c:pt>
              </c:numCache>
            </c:numRef>
          </c:val>
        </c:ser>
        <c:ser>
          <c:idx val="1"/>
          <c:order val="1"/>
          <c:tx>
            <c:strRef>
              <c:f>'T.AJUNTAMENT'!$A$158</c:f>
              <c:strCache>
                <c:ptCount val="1"/>
                <c:pt idx="0">
                  <c:v>GN</c:v>
                </c:pt>
              </c:strCache>
            </c:strRef>
          </c:tx>
          <c:spPr>
            <a:solidFill>
              <a:srgbClr val="ab4744"/>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'T.AJUNTAMENT'!$B$158:$G$158</c:f>
              <c:numCache>
                <c:formatCode>General</c:formatCode>
                <c:ptCount val="6"/>
                <c:pt idx="0">
                  <c:v>0</c:v>
                </c:pt>
                <c:pt idx="1">
                  <c:v>0</c:v>
                </c:pt>
                <c:pt idx="2">
                  <c:v>0</c:v>
                </c:pt>
                <c:pt idx="3">
                  <c:v>0</c:v>
                </c:pt>
                <c:pt idx="4">
                  <c:v>0</c:v>
                </c:pt>
                <c:pt idx="5">
                  <c:v>0</c:v>
                </c:pt>
              </c:numCache>
            </c:numRef>
          </c:val>
        </c:ser>
        <c:ser>
          <c:idx val="2"/>
          <c:order val="2"/>
          <c:tx>
            <c:strRef>
              <c:f>'T.AJUNTAMENT'!$A$159</c:f>
              <c:strCache>
                <c:ptCount val="1"/>
                <c:pt idx="0">
                  <c:v>GLP</c:v>
                </c:pt>
              </c:strCache>
            </c:strRef>
          </c:tx>
          <c:spPr>
            <a:solidFill>
              <a:srgbClr val="93a9ce"/>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'T.AJUNTAMENT'!$B$159:$G$159</c:f>
              <c:numCache>
                <c:formatCode>General</c:formatCode>
                <c:ptCount val="6"/>
                <c:pt idx="0">
                  <c:v>172.469534883721</c:v>
                </c:pt>
                <c:pt idx="1">
                  <c:v>172.469534883721</c:v>
                </c:pt>
                <c:pt idx="2">
                  <c:v>172.469534883721</c:v>
                </c:pt>
                <c:pt idx="3">
                  <c:v>172.469534883721</c:v>
                </c:pt>
                <c:pt idx="4">
                  <c:v>172.469534883721</c:v>
                </c:pt>
                <c:pt idx="5">
                  <c:v>172.469534883721</c:v>
                </c:pt>
              </c:numCache>
            </c:numRef>
          </c:val>
        </c:ser>
        <c:ser>
          <c:idx val="3"/>
          <c:order val="3"/>
          <c:tx>
            <c:strRef>
              <c:f>'T.AJUNTAMENT'!$A$160</c:f>
              <c:strCache>
                <c:ptCount val="1"/>
                <c:pt idx="0">
                  <c:v>Gasoil</c:v>
                </c:pt>
              </c:strCache>
            </c:strRef>
          </c:tx>
          <c:spPr>
            <a:solidFill>
              <a:srgbClr val="dc853e"/>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'T.AJUNTAMENT'!$B$160:$G$160</c:f>
              <c:numCache>
                <c:formatCode>General</c:formatCode>
                <c:ptCount val="6"/>
                <c:pt idx="0">
                  <c:v>688.6972</c:v>
                </c:pt>
                <c:pt idx="1">
                  <c:v>688.6972</c:v>
                </c:pt>
                <c:pt idx="2">
                  <c:v>688.6972</c:v>
                </c:pt>
                <c:pt idx="3">
                  <c:v>688.6972</c:v>
                </c:pt>
                <c:pt idx="4">
                  <c:v>688.6972</c:v>
                </c:pt>
                <c:pt idx="5">
                  <c:v>688.6972</c:v>
                </c:pt>
              </c:numCache>
            </c:numRef>
          </c:val>
        </c:ser>
        <c:ser>
          <c:idx val="4"/>
          <c:order val="4"/>
          <c:tx>
            <c:strRef>
              <c:f>'T.AJUNTAMENT'!$A$161</c:f>
              <c:strCache>
                <c:ptCount val="1"/>
                <c:pt idx="0">
                  <c:v>Gasolina</c:v>
                </c:pt>
              </c:strCache>
            </c:strRef>
          </c:tx>
          <c:spPr>
            <a:solidFill>
              <a:srgbClr val="4299b0"/>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'T.AJUNTAMENT'!$B$161:$G$161</c:f>
              <c:numCache>
                <c:formatCode>General</c:formatCode>
                <c:ptCount val="6"/>
                <c:pt idx="0">
                  <c:v>0</c:v>
                </c:pt>
                <c:pt idx="1">
                  <c:v>0</c:v>
                </c:pt>
                <c:pt idx="2">
                  <c:v>0</c:v>
                </c:pt>
                <c:pt idx="3">
                  <c:v>0</c:v>
                </c:pt>
                <c:pt idx="4">
                  <c:v>0</c:v>
                </c:pt>
                <c:pt idx="5">
                  <c:v>0</c:v>
                </c:pt>
              </c:numCache>
            </c:numRef>
          </c:val>
        </c:ser>
        <c:ser>
          <c:idx val="5"/>
          <c:order val="5"/>
          <c:tx>
            <c:strRef>
              <c:f>'T.AJUNTAMENT'!$A$162</c:f>
              <c:strCache>
                <c:ptCount val="1"/>
                <c:pt idx="0">
                  <c:v>Fueloil</c:v>
                </c:pt>
              </c:strCache>
            </c:strRef>
          </c:tx>
          <c:spPr>
            <a:solidFill>
              <a:srgbClr val="4672a8"/>
            </a:solidFill>
            <a:ln>
              <a:noFill/>
            </a:ln>
          </c:spPr>
          <c:invertIfNegative val="0"/>
          <c:dLbls>
            <c:showLegendKey val="0"/>
            <c:showVal val="0"/>
            <c:showCatName val="0"/>
            <c:showSerName val="0"/>
            <c:showPercent val="0"/>
            <c:showLeaderLines val="0"/>
          </c:dLbls>
          <c:cat>
            <c:strRef>
              <c:f>'T.AJUNTAMENT'!$B$156:$G$156</c:f>
              <c:strCache>
                <c:ptCount val="6"/>
                <c:pt idx="0">
                  <c:v>2005</c:v>
                </c:pt>
                <c:pt idx="1">
                  <c:v>2006</c:v>
                </c:pt>
                <c:pt idx="2">
                  <c:v>2007</c:v>
                </c:pt>
                <c:pt idx="3">
                  <c:v>2008</c:v>
                </c:pt>
                <c:pt idx="4">
                  <c:v>2009</c:v>
                </c:pt>
                <c:pt idx="5">
                  <c:v>2010</c:v>
                </c:pt>
              </c:strCache>
            </c:strRef>
          </c:cat>
          <c:val>
            <c:numRef>
              <c:f>'T.AJUNTAMENT'!$B$162:$G$162</c:f>
              <c:numCache>
                <c:formatCode>General</c:formatCode>
                <c:ptCount val="6"/>
                <c:pt idx="0">
                  <c:v>0</c:v>
                </c:pt>
                <c:pt idx="1">
                  <c:v>0</c:v>
                </c:pt>
                <c:pt idx="2">
                  <c:v>0</c:v>
                </c:pt>
                <c:pt idx="3">
                  <c:v>0</c:v>
                </c:pt>
                <c:pt idx="4">
                  <c:v>0</c:v>
                </c:pt>
                <c:pt idx="5">
                  <c:v>0</c:v>
                </c:pt>
              </c:numCache>
            </c:numRef>
          </c:val>
        </c:ser>
        <c:gapWidth val="150"/>
        <c:overlap val="100"/>
        <c:axId val="57730340"/>
        <c:axId val="38368586"/>
      </c:barChart>
      <c:catAx>
        <c:axId val="57730340"/>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38368586"/>
        <c:crosses val="autoZero"/>
        <c:auto val="1"/>
        <c:lblAlgn val="ctr"/>
        <c:lblOffset val="100"/>
      </c:catAx>
      <c:valAx>
        <c:axId val="3836858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equipaments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7730340"/>
        <c:crosses val="autoZero"/>
        <c:crossBetween val="midCat"/>
      </c:valAx>
      <c:spPr>
        <a:solidFill>
          <a:srgbClr val="ffffff"/>
        </a:solidFill>
        <a:ln>
          <a:noFill/>
        </a:ln>
      </c:spPr>
    </c:plotArea>
    <c:legend>
      <c:layout>
        <c:manualLayout>
          <c:xMode val="edge"/>
          <c:yMode val="edge"/>
          <c:x val="0.85198761811665"/>
          <c:y val="0.223106350420811"/>
        </c:manualLayout>
      </c:layout>
      <c:spPr>
        <a:noFill/>
        <a:ln>
          <a:noFill/>
        </a:ln>
      </c:spPr>
    </c:legend>
    <c:plotVisOnly val="1"/>
    <c:dispBlanksAs val="gap"/>
  </c:chart>
  <c:spPr>
    <a:solidFill>
      <a:srgbClr val="ffffff"/>
    </a:solidFill>
    <a:ln>
      <a:noFill/>
    </a:ln>
  </c:spPr>
</c:chartSpace>
</file>

<file path=xl/charts/chart11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1023622047244"/>
          <c:w val="0.679048550016292"/>
          <c:h val="0.758267716535433"/>
        </c:manualLayout>
      </c:layout>
      <c:barChart>
        <c:barDir val="col"/>
        <c:grouping val="stacked"/>
        <c:varyColors val="0"/>
        <c:ser>
          <c:idx val="0"/>
          <c:order val="0"/>
          <c:tx>
            <c:strRef>
              <c:f>'T.AJUNTAMENT'!$A$176</c:f>
              <c:strCache>
                <c:ptCount val="1"/>
                <c:pt idx="0">
                  <c:v>EE</c:v>
                </c:pt>
              </c:strCache>
            </c:strRef>
          </c:tx>
          <c:spPr>
            <a:solidFill>
              <a:srgbClr val="8aa64f"/>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'T.AJUNTAMENT'!$B$176:$G$176</c:f>
              <c:numCache>
                <c:formatCode>General</c:formatCode>
                <c:ptCount val="6"/>
                <c:pt idx="0">
                  <c:v>1305.6859944</c:v>
                </c:pt>
                <c:pt idx="1">
                  <c:v>1302.6964704</c:v>
                </c:pt>
                <c:pt idx="2">
                  <c:v>1218.0041391</c:v>
                </c:pt>
                <c:pt idx="3">
                  <c:v>1219.1993264</c:v>
                </c:pt>
                <c:pt idx="4">
                  <c:v>1203.8745576</c:v>
                </c:pt>
                <c:pt idx="5">
                  <c:v>1145.7330621</c:v>
                </c:pt>
              </c:numCache>
            </c:numRef>
          </c:val>
        </c:ser>
        <c:ser>
          <c:idx val="1"/>
          <c:order val="1"/>
          <c:tx>
            <c:strRef>
              <c:f>'T.AJUNTAMENT'!$A$177</c:f>
              <c:strCache>
                <c:ptCount val="1"/>
                <c:pt idx="0">
                  <c:v>GN</c:v>
                </c:pt>
              </c:strCache>
            </c:strRef>
          </c:tx>
          <c:spPr>
            <a:solidFill>
              <a:srgbClr val="ab4744"/>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'T.AJUNTAMENT'!$B$177:$G$177</c:f>
              <c:numCache>
                <c:formatCode>General</c:formatCode>
                <c:ptCount val="6"/>
                <c:pt idx="0">
                  <c:v>0</c:v>
                </c:pt>
                <c:pt idx="1">
                  <c:v>0</c:v>
                </c:pt>
                <c:pt idx="2">
                  <c:v>0</c:v>
                </c:pt>
                <c:pt idx="3">
                  <c:v>0</c:v>
                </c:pt>
                <c:pt idx="4">
                  <c:v>0</c:v>
                </c:pt>
                <c:pt idx="5">
                  <c:v>0</c:v>
                </c:pt>
              </c:numCache>
            </c:numRef>
          </c:val>
        </c:ser>
        <c:ser>
          <c:idx val="2"/>
          <c:order val="2"/>
          <c:tx>
            <c:strRef>
              <c:f>'T.AJUNTAMENT'!$A$178</c:f>
              <c:strCache>
                <c:ptCount val="1"/>
                <c:pt idx="0">
                  <c:v>GLP</c:v>
                </c:pt>
              </c:strCache>
            </c:strRef>
          </c:tx>
          <c:spPr>
            <a:solidFill>
              <a:srgbClr val="93a9ce"/>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'T.AJUNTAMENT'!$B$178:$G$178</c:f>
              <c:numCache>
                <c:formatCode>General</c:formatCode>
                <c:ptCount val="6"/>
                <c:pt idx="0">
                  <c:v>39.1505844186047</c:v>
                </c:pt>
                <c:pt idx="1">
                  <c:v>39.1505844186047</c:v>
                </c:pt>
                <c:pt idx="2">
                  <c:v>39.1505844186047</c:v>
                </c:pt>
                <c:pt idx="3">
                  <c:v>39.1505844186047</c:v>
                </c:pt>
                <c:pt idx="4">
                  <c:v>39.1505844186047</c:v>
                </c:pt>
                <c:pt idx="5">
                  <c:v>39.1505844186047</c:v>
                </c:pt>
              </c:numCache>
            </c:numRef>
          </c:val>
        </c:ser>
        <c:ser>
          <c:idx val="3"/>
          <c:order val="3"/>
          <c:tx>
            <c:strRef>
              <c:f>'T.AJUNTAMENT'!$A$179</c:f>
              <c:strCache>
                <c:ptCount val="1"/>
                <c:pt idx="0">
                  <c:v>Gasoil</c:v>
                </c:pt>
              </c:strCache>
            </c:strRef>
          </c:tx>
          <c:spPr>
            <a:solidFill>
              <a:srgbClr val="dc853e"/>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'T.AJUNTAMENT'!$B$179:$G$179</c:f>
              <c:numCache>
                <c:formatCode>General</c:formatCode>
                <c:ptCount val="6"/>
                <c:pt idx="0">
                  <c:v>183.8821524</c:v>
                </c:pt>
                <c:pt idx="1">
                  <c:v>183.8821524</c:v>
                </c:pt>
                <c:pt idx="2">
                  <c:v>183.8821524</c:v>
                </c:pt>
                <c:pt idx="3">
                  <c:v>183.8821524</c:v>
                </c:pt>
                <c:pt idx="4">
                  <c:v>183.8821524</c:v>
                </c:pt>
                <c:pt idx="5">
                  <c:v>183.8821524</c:v>
                </c:pt>
              </c:numCache>
            </c:numRef>
          </c:val>
        </c:ser>
        <c:ser>
          <c:idx val="4"/>
          <c:order val="4"/>
          <c:tx>
            <c:strRef>
              <c:f>'T.AJUNTAMENT'!$A$180</c:f>
              <c:strCache>
                <c:ptCount val="1"/>
                <c:pt idx="0">
                  <c:v>Gasolina</c:v>
                </c:pt>
              </c:strCache>
            </c:strRef>
          </c:tx>
          <c:spPr>
            <a:solidFill>
              <a:srgbClr val="4299b0"/>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'T.AJUNTAMENT'!$B$180:$G$180</c:f>
              <c:numCache>
                <c:formatCode>General</c:formatCode>
                <c:ptCount val="6"/>
                <c:pt idx="0">
                  <c:v>0</c:v>
                </c:pt>
                <c:pt idx="1">
                  <c:v>0</c:v>
                </c:pt>
                <c:pt idx="2">
                  <c:v>0</c:v>
                </c:pt>
                <c:pt idx="3">
                  <c:v>0</c:v>
                </c:pt>
                <c:pt idx="4">
                  <c:v>0</c:v>
                </c:pt>
                <c:pt idx="5">
                  <c:v>0</c:v>
                </c:pt>
              </c:numCache>
            </c:numRef>
          </c:val>
        </c:ser>
        <c:ser>
          <c:idx val="5"/>
          <c:order val="5"/>
          <c:tx>
            <c:strRef>
              <c:f>'T.AJUNTAMENT'!$A$181</c:f>
              <c:strCache>
                <c:ptCount val="1"/>
                <c:pt idx="0">
                  <c:v>Fueloil</c:v>
                </c:pt>
              </c:strCache>
            </c:strRef>
          </c:tx>
          <c:spPr>
            <a:solidFill>
              <a:srgbClr val="4672a8"/>
            </a:solidFill>
            <a:ln>
              <a:noFill/>
            </a:ln>
          </c:spPr>
          <c:invertIfNegative val="0"/>
          <c:dLbls>
            <c:showLegendKey val="0"/>
            <c:showVal val="0"/>
            <c:showCatName val="0"/>
            <c:showSerName val="0"/>
            <c:showPercent val="0"/>
            <c:showLeaderLines val="0"/>
          </c:dLbls>
          <c:cat>
            <c:strRef>
              <c:f>'T.AJUNTAMENT'!$B$175:$G$175</c:f>
              <c:strCache>
                <c:ptCount val="6"/>
                <c:pt idx="0">
                  <c:v>2005</c:v>
                </c:pt>
                <c:pt idx="1">
                  <c:v>2006</c:v>
                </c:pt>
                <c:pt idx="2">
                  <c:v>2007</c:v>
                </c:pt>
                <c:pt idx="3">
                  <c:v>2008</c:v>
                </c:pt>
                <c:pt idx="4">
                  <c:v>2009</c:v>
                </c:pt>
                <c:pt idx="5">
                  <c:v>2010</c:v>
                </c:pt>
              </c:strCache>
            </c:strRef>
          </c:cat>
          <c:val>
            <c:numRef>
              <c:f>'T.AJUNTAMENT'!$B$181:$G$181</c:f>
              <c:numCache>
                <c:formatCode>General</c:formatCode>
                <c:ptCount val="6"/>
                <c:pt idx="0">
                  <c:v>0</c:v>
                </c:pt>
                <c:pt idx="1">
                  <c:v>0</c:v>
                </c:pt>
                <c:pt idx="2">
                  <c:v>0</c:v>
                </c:pt>
                <c:pt idx="3">
                  <c:v>0</c:v>
                </c:pt>
                <c:pt idx="4">
                  <c:v>0</c:v>
                </c:pt>
                <c:pt idx="5">
                  <c:v>0</c:v>
                </c:pt>
              </c:numCache>
            </c:numRef>
          </c:val>
        </c:ser>
        <c:gapWidth val="150"/>
        <c:overlap val="100"/>
        <c:axId val="5133323"/>
        <c:axId val="69828771"/>
      </c:barChart>
      <c:catAx>
        <c:axId val="5133323"/>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69828771"/>
        <c:crosses val="autoZero"/>
        <c:auto val="1"/>
        <c:lblAlgn val="ctr"/>
        <c:lblOffset val="100"/>
      </c:catAx>
      <c:valAx>
        <c:axId val="69828771"/>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equipaments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133323"/>
        <c:crosses val="autoZero"/>
        <c:crossBetween val="midCat"/>
      </c:valAx>
      <c:spPr>
        <a:solidFill>
          <a:srgbClr val="ffffff"/>
        </a:solidFill>
        <a:ln>
          <a:noFill/>
        </a:ln>
      </c:spPr>
    </c:plotArea>
    <c:legend>
      <c:layout>
        <c:manualLayout>
          <c:xMode val="edge"/>
          <c:yMode val="edge"/>
          <c:x val="0.85198761811665"/>
          <c:y val="0.222992125984252"/>
        </c:manualLayout>
      </c:layout>
      <c:spPr>
        <a:noFill/>
        <a:ln>
          <a:noFill/>
        </a:ln>
      </c:spPr>
    </c:legend>
    <c:plotVisOnly val="1"/>
    <c:dispBlanksAs val="gap"/>
  </c:chart>
  <c:spPr>
    <a:solidFill>
      <a:srgbClr val="ffffff"/>
    </a:solidFill>
    <a:ln>
      <a:noFill/>
    </a:ln>
  </c:spPr>
</c:chartSpace>
</file>

<file path=xl/charts/chart11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0294117647059"/>
          <c:w val="0.679048550016292"/>
          <c:h val="0.758382352941177"/>
        </c:manualLayout>
      </c:layout>
      <c:barChart>
        <c:barDir val="col"/>
        <c:grouping val="stacked"/>
        <c:varyColors val="0"/>
        <c:ser>
          <c:idx val="0"/>
          <c:order val="0"/>
          <c:tx>
            <c:strRef>
              <c:f>'T.AJUNTAMENT'!$A$230</c:f>
              <c:strCache>
                <c:ptCount val="1"/>
                <c:pt idx="0">
                  <c:v>Policia </c:v>
                </c:pt>
              </c:strCache>
            </c:strRef>
          </c:tx>
          <c:spPr>
            <a:solidFill>
              <a:srgbClr val="dc853e"/>
            </a:solidFill>
            <a:ln>
              <a:noFill/>
            </a:ln>
          </c:spPr>
          <c:invertIfNegative val="0"/>
          <c:dLbls>
            <c:showLegendKey val="0"/>
            <c:showVal val="0"/>
            <c:showCatName val="0"/>
            <c:showSerName val="0"/>
            <c:showPercent val="0"/>
            <c:showLeaderLines val="0"/>
          </c:dLbls>
          <c:cat>
            <c:strRef>
              <c:f>'T.AJUNTAMENT'!$B$227:$G$227</c:f>
              <c:strCache>
                <c:ptCount val="6"/>
                <c:pt idx="0">
                  <c:v>2005</c:v>
                </c:pt>
                <c:pt idx="1">
                  <c:v>2006</c:v>
                </c:pt>
                <c:pt idx="2">
                  <c:v>2007</c:v>
                </c:pt>
                <c:pt idx="3">
                  <c:v>2008</c:v>
                </c:pt>
                <c:pt idx="4">
                  <c:v>2009</c:v>
                </c:pt>
                <c:pt idx="5">
                  <c:v>2010</c:v>
                </c:pt>
              </c:strCache>
            </c:strRef>
          </c:cat>
          <c:val>
            <c:numRef>
              <c:f>'T.AJUNTAMENT'!$B$230:$G$230</c:f>
              <c:numCache>
                <c:formatCode>General</c:formatCode>
                <c:ptCount val="6"/>
                <c:pt idx="0">
                  <c:v>243531.285</c:v>
                </c:pt>
                <c:pt idx="1">
                  <c:v>376215.72</c:v>
                </c:pt>
                <c:pt idx="2">
                  <c:v>376215.72</c:v>
                </c:pt>
                <c:pt idx="3">
                  <c:v>376215.72</c:v>
                </c:pt>
                <c:pt idx="4">
                  <c:v>376215.72</c:v>
                </c:pt>
                <c:pt idx="5">
                  <c:v>413164.67</c:v>
                </c:pt>
              </c:numCache>
            </c:numRef>
          </c:val>
        </c:ser>
        <c:ser>
          <c:idx val="1"/>
          <c:order val="1"/>
          <c:tx>
            <c:strRef>
              <c:f>'T.AJUNTAMENT'!$A$231</c:f>
              <c:strCache>
                <c:ptCount val="1"/>
                <c:pt idx="0">
                  <c:v>Medi ambient</c:v>
                </c:pt>
              </c:strCache>
            </c:strRef>
          </c:tx>
          <c:spPr>
            <a:solidFill>
              <a:srgbClr val="93a9ce"/>
            </a:solidFill>
            <a:ln>
              <a:noFill/>
            </a:ln>
          </c:spPr>
          <c:invertIfNegative val="0"/>
          <c:dLbls>
            <c:showLegendKey val="0"/>
            <c:showVal val="0"/>
            <c:showCatName val="0"/>
            <c:showSerName val="0"/>
            <c:showPercent val="0"/>
            <c:showLeaderLines val="0"/>
          </c:dLbls>
          <c:cat>
            <c:strRef>
              <c:f>'T.AJUNTAMENT'!$B$227:$G$227</c:f>
              <c:strCache>
                <c:ptCount val="6"/>
                <c:pt idx="0">
                  <c:v>2005</c:v>
                </c:pt>
                <c:pt idx="1">
                  <c:v>2006</c:v>
                </c:pt>
                <c:pt idx="2">
                  <c:v>2007</c:v>
                </c:pt>
                <c:pt idx="3">
                  <c:v>2008</c:v>
                </c:pt>
                <c:pt idx="4">
                  <c:v>2009</c:v>
                </c:pt>
                <c:pt idx="5">
                  <c:v>2010</c:v>
                </c:pt>
              </c:strCache>
            </c:strRef>
          </c:cat>
          <c:val>
            <c:numRef>
              <c:f>'T.AJUNTAMENT'!$B$231:$G$231</c:f>
              <c:numCache>
                <c:formatCode>General</c:formatCode>
                <c:ptCount val="6"/>
                <c:pt idx="0">
                  <c:v>110846.85</c:v>
                </c:pt>
                <c:pt idx="1">
                  <c:v>110846.85</c:v>
                </c:pt>
                <c:pt idx="2">
                  <c:v>110846.85</c:v>
                </c:pt>
                <c:pt idx="3">
                  <c:v>110846.85</c:v>
                </c:pt>
                <c:pt idx="4">
                  <c:v>110846.85</c:v>
                </c:pt>
                <c:pt idx="5">
                  <c:v>110846.85</c:v>
                </c:pt>
              </c:numCache>
            </c:numRef>
          </c:val>
        </c:ser>
        <c:ser>
          <c:idx val="2"/>
          <c:order val="2"/>
          <c:tx>
            <c:strRef>
              <c:f>'T.AJUNTAMENT'!$A$232</c:f>
              <c:strCache>
                <c:ptCount val="1"/>
                <c:pt idx="0">
                  <c:v>Serveis socials</c:v>
                </c:pt>
              </c:strCache>
            </c:strRef>
          </c:tx>
          <c:spPr>
            <a:solidFill>
              <a:srgbClr val="4299b0"/>
            </a:solidFill>
            <a:ln>
              <a:noFill/>
            </a:ln>
          </c:spPr>
          <c:invertIfNegative val="0"/>
          <c:dLbls>
            <c:showLegendKey val="0"/>
            <c:showVal val="0"/>
            <c:showCatName val="0"/>
            <c:showSerName val="0"/>
            <c:showPercent val="0"/>
            <c:showLeaderLines val="0"/>
          </c:dLbls>
          <c:cat>
            <c:strRef>
              <c:f>'T.AJUNTAMENT'!$B$227:$G$227</c:f>
              <c:strCache>
                <c:ptCount val="6"/>
                <c:pt idx="0">
                  <c:v>2005</c:v>
                </c:pt>
                <c:pt idx="1">
                  <c:v>2006</c:v>
                </c:pt>
                <c:pt idx="2">
                  <c:v>2007</c:v>
                </c:pt>
                <c:pt idx="3">
                  <c:v>2008</c:v>
                </c:pt>
                <c:pt idx="4">
                  <c:v>2009</c:v>
                </c:pt>
                <c:pt idx="5">
                  <c:v>2010</c:v>
                </c:pt>
              </c:strCache>
            </c:strRef>
          </c:cat>
          <c:val>
            <c:numRef>
              <c:f>'T.AJUNTAMENT'!$B$232:$G$232</c:f>
              <c:numCache>
                <c:formatCode>General</c:formatCode>
                <c:ptCount val="6"/>
                <c:pt idx="0">
                  <c:v>144100.905</c:v>
                </c:pt>
                <c:pt idx="1">
                  <c:v>184744.75</c:v>
                </c:pt>
                <c:pt idx="2">
                  <c:v>184744.75</c:v>
                </c:pt>
                <c:pt idx="3">
                  <c:v>184744.75</c:v>
                </c:pt>
                <c:pt idx="4">
                  <c:v>184744.75</c:v>
                </c:pt>
                <c:pt idx="5">
                  <c:v>184744.75</c:v>
                </c:pt>
              </c:numCache>
            </c:numRef>
          </c:val>
        </c:ser>
        <c:ser>
          <c:idx val="3"/>
          <c:order val="3"/>
          <c:tx>
            <c:strRef>
              <c:f>'T.AJUNTAMENT'!$A$233</c:f>
              <c:strCache>
                <c:ptCount val="1"/>
                <c:pt idx="0">
                  <c:v>Altres</c:v>
                </c:pt>
              </c:strCache>
            </c:strRef>
          </c:tx>
          <c:spPr>
            <a:solidFill>
              <a:srgbClr val="4672a8"/>
            </a:solidFill>
            <a:ln>
              <a:noFill/>
            </a:ln>
          </c:spPr>
          <c:invertIfNegative val="0"/>
          <c:dLbls>
            <c:showLegendKey val="0"/>
            <c:showVal val="0"/>
            <c:showCatName val="0"/>
            <c:showSerName val="0"/>
            <c:showPercent val="0"/>
            <c:showLeaderLines val="0"/>
          </c:dLbls>
          <c:cat>
            <c:strRef>
              <c:f>'T.AJUNTAMENT'!$B$227:$G$227</c:f>
              <c:strCache>
                <c:ptCount val="6"/>
                <c:pt idx="0">
                  <c:v>2005</c:v>
                </c:pt>
                <c:pt idx="1">
                  <c:v>2006</c:v>
                </c:pt>
                <c:pt idx="2">
                  <c:v>2007</c:v>
                </c:pt>
                <c:pt idx="3">
                  <c:v>2008</c:v>
                </c:pt>
                <c:pt idx="4">
                  <c:v>2009</c:v>
                </c:pt>
                <c:pt idx="5">
                  <c:v>2010</c:v>
                </c:pt>
              </c:strCache>
            </c:strRef>
          </c:cat>
          <c:val>
            <c:numRef>
              <c:f>'T.AJUNTAMENT'!$B$233:$G$233</c:f>
              <c:numCache>
                <c:formatCode>General</c:formatCode>
                <c:ptCount val="6"/>
                <c:pt idx="0">
                  <c:v>159648.08</c:v>
                </c:pt>
                <c:pt idx="1">
                  <c:v>252020.455</c:v>
                </c:pt>
                <c:pt idx="2">
                  <c:v>252020.455</c:v>
                </c:pt>
                <c:pt idx="3">
                  <c:v>252020.455</c:v>
                </c:pt>
                <c:pt idx="4">
                  <c:v>252020.455</c:v>
                </c:pt>
                <c:pt idx="5">
                  <c:v>252020.455</c:v>
                </c:pt>
              </c:numCache>
            </c:numRef>
          </c:val>
        </c:ser>
        <c:gapWidth val="150"/>
        <c:overlap val="100"/>
        <c:axId val="42208544"/>
        <c:axId val="86433448"/>
      </c:barChart>
      <c:catAx>
        <c:axId val="42208544"/>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86433448"/>
        <c:crosses val="autoZero"/>
        <c:auto val="1"/>
        <c:lblAlgn val="ctr"/>
        <c:lblOffset val="100"/>
      </c:catAx>
      <c:valAx>
        <c:axId val="86433448"/>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vehicles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2208544"/>
        <c:crosses val="autoZero"/>
        <c:crossBetween val="midCat"/>
      </c:valAx>
      <c:spPr>
        <a:solidFill>
          <a:srgbClr val="ffffff"/>
        </a:solidFill>
        <a:ln>
          <a:noFill/>
        </a:ln>
      </c:spPr>
    </c:plotArea>
    <c:legend>
      <c:layout>
        <c:manualLayout>
          <c:xMode val="edge"/>
          <c:yMode val="edge"/>
          <c:x val="0.85198761811665"/>
          <c:y val="0.223088235294118"/>
        </c:manualLayout>
      </c:layout>
      <c:spPr>
        <a:noFill/>
        <a:ln>
          <a:noFill/>
        </a:ln>
      </c:spPr>
    </c:legend>
    <c:plotVisOnly val="1"/>
    <c:dispBlanksAs val="gap"/>
  </c:chart>
  <c:spPr>
    <a:solidFill>
      <a:srgbClr val="ffffff"/>
    </a:solidFill>
    <a:ln>
      <a:noFill/>
    </a:ln>
  </c:spPr>
</c:chartSpace>
</file>

<file path=xl/charts/chart118.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0294117647059"/>
          <c:w val="0.679048550016292"/>
          <c:h val="0.758382352941177"/>
        </c:manualLayout>
      </c:layout>
      <c:barChart>
        <c:barDir val="col"/>
        <c:grouping val="stacked"/>
        <c:varyColors val="0"/>
        <c:ser>
          <c:idx val="0"/>
          <c:order val="0"/>
          <c:tx>
            <c:strRef>
              <c:f>'T.AJUNTAMENT'!$A$246</c:f>
              <c:strCache>
                <c:ptCount val="1"/>
                <c:pt idx="0">
                  <c:v>Vehicles</c:v>
                </c:pt>
              </c:strCache>
            </c:strRef>
          </c:tx>
          <c:spPr>
            <a:solidFill>
              <a:srgbClr val="4672a8"/>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'T.AJUNTAMENT'!$B$246:$G$246</c:f>
              <c:numCache>
                <c:formatCode>General</c:formatCode>
                <c:ptCount val="6"/>
                <c:pt idx="0">
                  <c:v>2005</c:v>
                </c:pt>
                <c:pt idx="1">
                  <c:v>2006</c:v>
                </c:pt>
                <c:pt idx="2">
                  <c:v>2007</c:v>
                </c:pt>
                <c:pt idx="3">
                  <c:v>2008</c:v>
                </c:pt>
                <c:pt idx="4">
                  <c:v>2009</c:v>
                </c:pt>
                <c:pt idx="5">
                  <c:v>2010</c:v>
                </c:pt>
              </c:numCache>
            </c:numRef>
          </c:val>
        </c:ser>
        <c:ser>
          <c:idx val="1"/>
          <c:order val="1"/>
          <c:tx>
            <c:strRef>
              <c:f>'T.AJUNTAMENT'!$A$247</c:f>
              <c:strCache>
                <c:ptCount val="1"/>
                <c:pt idx="0">
                  <c:v>Brigada</c:v>
                </c:pt>
              </c:strCache>
            </c:strRef>
          </c:tx>
          <c:spPr>
            <a:solidFill>
              <a:srgbClr val="4299b0"/>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'T.AJUNTAMENT'!$B$247:$G$247</c:f>
              <c:numCache>
                <c:formatCode>General</c:formatCode>
                <c:ptCount val="6"/>
                <c:pt idx="0">
                  <c:v>36.523371315</c:v>
                </c:pt>
                <c:pt idx="1">
                  <c:v>47.37527793</c:v>
                </c:pt>
                <c:pt idx="2">
                  <c:v>47.37527793</c:v>
                </c:pt>
                <c:pt idx="3">
                  <c:v>47.37527793</c:v>
                </c:pt>
                <c:pt idx="4">
                  <c:v>47.37527793</c:v>
                </c:pt>
                <c:pt idx="5">
                  <c:v>47.37527793</c:v>
                </c:pt>
              </c:numCache>
            </c:numRef>
          </c:val>
        </c:ser>
        <c:ser>
          <c:idx val="2"/>
          <c:order val="2"/>
          <c:tx>
            <c:strRef>
              <c:f>'T.AJUNTAMENT'!$A$248</c:f>
              <c:strCache>
                <c:ptCount val="1"/>
                <c:pt idx="0">
                  <c:v/>
                </c:pt>
              </c:strCache>
            </c:strRef>
          </c:tx>
          <c:spPr>
            <a:solidFill>
              <a:srgbClr val="dc853e"/>
            </a:solidFill>
            <a:ln>
              <a:noFill/>
            </a:ln>
          </c:spPr>
          <c:invertIfNegative val="0"/>
          <c:cat>
            <c:strRef>
              <c:f>'T.AJUNTAMENT'!$B$246:$G$246</c:f>
              <c:strCache>
                <c:ptCount val="6"/>
                <c:pt idx="0">
                  <c:v>2005</c:v>
                </c:pt>
                <c:pt idx="1">
                  <c:v>2006</c:v>
                </c:pt>
                <c:pt idx="2">
                  <c:v>2007</c:v>
                </c:pt>
                <c:pt idx="3">
                  <c:v>2008</c:v>
                </c:pt>
                <c:pt idx="4">
                  <c:v>2009</c:v>
                </c:pt>
                <c:pt idx="5">
                  <c:v>2010</c:v>
                </c:pt>
              </c:strCache>
            </c:strRef>
          </c:cat>
          <c:val>
            <c:numRef>
              <c:f>'T.AJUNTAMENT'!$B$248:$G$248</c:f>
              <c:numCache>
                <c:formatCode>General</c:formatCode>
                <c:ptCount val="0"/>
              </c:numCache>
            </c:numRef>
          </c:val>
        </c:ser>
        <c:ser>
          <c:idx val="3"/>
          <c:order val="3"/>
          <c:tx>
            <c:strRef>
              <c:f>'T.AJUNTAMENT'!$A$249</c:f>
              <c:strCache>
                <c:ptCount val="1"/>
                <c:pt idx="0">
                  <c:v>Policia </c:v>
                </c:pt>
              </c:strCache>
            </c:strRef>
          </c:tx>
          <c:spPr>
            <a:solidFill>
              <a:srgbClr val="93a9ce"/>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'T.AJUNTAMENT'!$B$249:$G$249</c:f>
              <c:numCache>
                <c:formatCode>General</c:formatCode>
                <c:ptCount val="6"/>
                <c:pt idx="0">
                  <c:v>62.634533265</c:v>
                </c:pt>
                <c:pt idx="1">
                  <c:v>95.67295758</c:v>
                </c:pt>
                <c:pt idx="2">
                  <c:v>95.67295758</c:v>
                </c:pt>
                <c:pt idx="3">
                  <c:v>95.67295758</c:v>
                </c:pt>
                <c:pt idx="4">
                  <c:v>95.67295758</c:v>
                </c:pt>
                <c:pt idx="5">
                  <c:v>105.53832723</c:v>
                </c:pt>
              </c:numCache>
            </c:numRef>
          </c:val>
        </c:ser>
        <c:ser>
          <c:idx val="4"/>
          <c:order val="4"/>
          <c:tx>
            <c:strRef>
              <c:f>'T.AJUNTAMENT'!$A$250</c:f>
              <c:strCache>
                <c:ptCount val="1"/>
                <c:pt idx="0">
                  <c:v>Medi ambient</c:v>
                </c:pt>
              </c:strCache>
            </c:strRef>
          </c:tx>
          <c:spPr>
            <a:solidFill>
              <a:srgbClr val="ab4744"/>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'T.AJUNTAMENT'!$B$250:$G$250</c:f>
              <c:numCache>
                <c:formatCode>General</c:formatCode>
                <c:ptCount val="6"/>
                <c:pt idx="0">
                  <c:v>29.59610895</c:v>
                </c:pt>
                <c:pt idx="1">
                  <c:v>29.59610895</c:v>
                </c:pt>
                <c:pt idx="2">
                  <c:v>29.59610895</c:v>
                </c:pt>
                <c:pt idx="3">
                  <c:v>29.59610895</c:v>
                </c:pt>
                <c:pt idx="4">
                  <c:v>29.59610895</c:v>
                </c:pt>
                <c:pt idx="5">
                  <c:v>29.59610895</c:v>
                </c:pt>
              </c:numCache>
            </c:numRef>
          </c:val>
        </c:ser>
        <c:ser>
          <c:idx val="5"/>
          <c:order val="5"/>
          <c:tx>
            <c:strRef>
              <c:f>'T.AJUNTAMENT'!$A$251</c:f>
              <c:strCache>
                <c:ptCount val="1"/>
                <c:pt idx="0">
                  <c:v>Serveis socials</c:v>
                </c:pt>
              </c:strCache>
            </c:strRef>
          </c:tx>
          <c:spPr>
            <a:solidFill>
              <a:srgbClr val="8aa64f"/>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'T.AJUNTAMENT'!$B$251:$G$251</c:f>
              <c:numCache>
                <c:formatCode>General</c:formatCode>
                <c:ptCount val="6"/>
                <c:pt idx="0">
                  <c:v>38.474941635</c:v>
                </c:pt>
                <c:pt idx="1">
                  <c:v>49.32684825</c:v>
                </c:pt>
                <c:pt idx="2">
                  <c:v>49.32684825</c:v>
                </c:pt>
                <c:pt idx="3">
                  <c:v>49.32684825</c:v>
                </c:pt>
                <c:pt idx="4">
                  <c:v>49.32684825</c:v>
                </c:pt>
                <c:pt idx="5">
                  <c:v>49.32684825</c:v>
                </c:pt>
              </c:numCache>
            </c:numRef>
          </c:val>
        </c:ser>
        <c:ser>
          <c:idx val="6"/>
          <c:order val="6"/>
          <c:tx>
            <c:strRef>
              <c:f>'T.AJUNTAMENT'!$A$252</c:f>
              <c:strCache>
                <c:ptCount val="1"/>
                <c:pt idx="0">
                  <c:v>Altres</c:v>
                </c:pt>
              </c:strCache>
            </c:strRef>
          </c:tx>
          <c:spPr>
            <a:solidFill>
              <a:srgbClr val="725990"/>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'T.AJUNTAMENT'!$B$252:$G$252</c:f>
              <c:numCache>
                <c:formatCode>General</c:formatCode>
                <c:ptCount val="6"/>
                <c:pt idx="0">
                  <c:v>42.01364766</c:v>
                </c:pt>
                <c:pt idx="1">
                  <c:v>66.677071785</c:v>
                </c:pt>
                <c:pt idx="2">
                  <c:v>66.677071785</c:v>
                </c:pt>
                <c:pt idx="3">
                  <c:v>66.677071785</c:v>
                </c:pt>
                <c:pt idx="4">
                  <c:v>66.677071785</c:v>
                </c:pt>
                <c:pt idx="5">
                  <c:v>66.677071785</c:v>
                </c:pt>
              </c:numCache>
            </c:numRef>
          </c:val>
        </c:ser>
        <c:gapWidth val="150"/>
        <c:overlap val="100"/>
        <c:axId val="97119866"/>
        <c:axId val="14923796"/>
      </c:barChart>
      <c:catAx>
        <c:axId val="97119866"/>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14923796"/>
        <c:crosses val="autoZero"/>
        <c:auto val="1"/>
        <c:lblAlgn val="ctr"/>
        <c:lblOffset val="100"/>
      </c:catAx>
      <c:valAx>
        <c:axId val="1492379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vehicles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7119866"/>
        <c:crosses val="autoZero"/>
        <c:crossBetween val="midCat"/>
      </c:valAx>
      <c:spPr>
        <a:solidFill>
          <a:srgbClr val="ffffff"/>
        </a:solidFill>
        <a:ln>
          <a:noFill/>
        </a:ln>
      </c:spPr>
    </c:plotArea>
    <c:legend>
      <c:layout>
        <c:manualLayout>
          <c:xMode val="edge"/>
          <c:yMode val="edge"/>
          <c:x val="0.85198761811665"/>
          <c:y val="0.223088235294118"/>
        </c:manualLayout>
      </c:layout>
      <c:spPr>
        <a:noFill/>
        <a:ln>
          <a:noFill/>
        </a:ln>
      </c:spPr>
    </c:legend>
    <c:plotVisOnly val="1"/>
    <c:dispBlanksAs val="gap"/>
  </c:chart>
  <c:spPr>
    <a:solidFill>
      <a:srgbClr val="ffffff"/>
    </a:solidFill>
    <a:ln>
      <a:noFill/>
    </a:ln>
  </c:spPr>
</c:chartSpace>
</file>

<file path=xl/charts/chart1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'T.AJUNTAMENT'!$A$157:$A$162</c:f>
              <c:strCache>
                <c:ptCount val="6"/>
                <c:pt idx="0">
                  <c:v>EE</c:v>
                </c:pt>
                <c:pt idx="1">
                  <c:v>GN</c:v>
                </c:pt>
                <c:pt idx="2">
                  <c:v>GLP</c:v>
                </c:pt>
                <c:pt idx="3">
                  <c:v>Gasoil</c:v>
                </c:pt>
                <c:pt idx="4">
                  <c:v>Gasolina</c:v>
                </c:pt>
                <c:pt idx="5">
                  <c:v>Fueloil</c:v>
                </c:pt>
              </c:strCache>
            </c:strRef>
          </c:cat>
          <c:val>
            <c:numRef>
              <c:f>'T.AJUNTAMENT'!$B$157:$B$162</c:f>
              <c:numCache>
                <c:formatCode>General</c:formatCode>
                <c:ptCount val="6"/>
                <c:pt idx="0">
                  <c:v>1547.388</c:v>
                </c:pt>
                <c:pt idx="1">
                  <c:v>0</c:v>
                </c:pt>
                <c:pt idx="2">
                  <c:v>172.469534883721</c:v>
                </c:pt>
                <c:pt idx="3">
                  <c:v>688.6972</c:v>
                </c:pt>
                <c:pt idx="4">
                  <c:v>0</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 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MUNICIPI'!$A$46:$A$50</c:f>
              <c:strCache>
                <c:ptCount val="5"/>
                <c:pt idx="0">
                  <c:v>EE</c:v>
                </c:pt>
                <c:pt idx="1">
                  <c:v>GLP</c:v>
                </c:pt>
                <c:pt idx="2">
                  <c:v>Gasoil</c:v>
                </c:pt>
                <c:pt idx="3">
                  <c:v>Gasolina</c:v>
                </c:pt>
                <c:pt idx="4">
                  <c:v>Fueloil</c:v>
                </c:pt>
              </c:strCache>
            </c:strRef>
          </c:cat>
          <c:val>
            <c:numRef>
              <c:f>'T. MUNICIPI'!$F$46:$F$50</c:f>
              <c:numCache>
                <c:formatCode>General</c:formatCode>
                <c:ptCount val="5"/>
                <c:pt idx="0">
                  <c:v>68810.5935</c:v>
                </c:pt>
                <c:pt idx="1">
                  <c:v>2342.84128533426</c:v>
                </c:pt>
                <c:pt idx="2">
                  <c:v>32415.3802856088</c:v>
                </c:pt>
                <c:pt idx="3">
                  <c:v>7964.46323878046</c:v>
                </c:pt>
                <c:pt idx="4">
                  <c:v>0</c:v>
                </c:pt>
              </c:numCache>
            </c:numRef>
          </c:val>
        </c:ser>
      </c:pie3DChart>
      <c:spPr>
        <a:solidFill>
          <a:srgbClr val="d9d9d9"/>
        </a:solidFill>
        <a:ln>
          <a:noFill/>
        </a:ln>
      </c:spPr>
    </c:plotArea>
    <c:legend>
      <c:layout>
        <c:manualLayout>
          <c:xMode val="edge"/>
          <c:yMode val="edge"/>
          <c:x val="0.758026001591934"/>
          <c:y val="0.269492293744334"/>
        </c:manualLayout>
      </c:layout>
      <c:spPr>
        <a:noFill/>
        <a:ln>
          <a:noFill/>
        </a:ln>
      </c:spPr>
    </c:legend>
    <c:plotVisOnly val="1"/>
    <c:dispBlanksAs val="zero"/>
  </c:chart>
  <c:spPr>
    <a:solidFill>
      <a:srgbClr val="ffffff"/>
    </a:solidFill>
    <a:ln>
      <a:noFill/>
    </a:ln>
  </c:spPr>
</c:chartSpace>
</file>

<file path=xl/charts/chart1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'T.AJUNTAMENT'!$A$157:$A$162</c:f>
              <c:strCache>
                <c:ptCount val="6"/>
                <c:pt idx="0">
                  <c:v>EE</c:v>
                </c:pt>
                <c:pt idx="1">
                  <c:v>GN</c:v>
                </c:pt>
                <c:pt idx="2">
                  <c:v>GLP</c:v>
                </c:pt>
                <c:pt idx="3">
                  <c:v>Gasoil</c:v>
                </c:pt>
                <c:pt idx="4">
                  <c:v>Gasolina</c:v>
                </c:pt>
                <c:pt idx="5">
                  <c:v>Fueloil</c:v>
                </c:pt>
              </c:strCache>
            </c:strRef>
          </c:cat>
          <c:val>
            <c:numRef>
              <c:f>'T.AJUNTAMENT'!$F$157:$F$162</c:f>
              <c:numCache>
                <c:formatCode>General</c:formatCode>
                <c:ptCount val="6"/>
                <c:pt idx="0">
                  <c:v>1419.496</c:v>
                </c:pt>
                <c:pt idx="1">
                  <c:v>0</c:v>
                </c:pt>
                <c:pt idx="2">
                  <c:v>172.469534883721</c:v>
                </c:pt>
                <c:pt idx="3">
                  <c:v>688.6972</c:v>
                </c:pt>
                <c:pt idx="4">
                  <c:v>0</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'T.AJUNTAMENT'!$A$176:$A$181</c:f>
              <c:strCache>
                <c:ptCount val="6"/>
                <c:pt idx="0">
                  <c:v>EE</c:v>
                </c:pt>
                <c:pt idx="1">
                  <c:v>GN</c:v>
                </c:pt>
                <c:pt idx="2">
                  <c:v>GLP</c:v>
                </c:pt>
                <c:pt idx="3">
                  <c:v>Gasoil</c:v>
                </c:pt>
                <c:pt idx="4">
                  <c:v>Gasolina</c:v>
                </c:pt>
                <c:pt idx="5">
                  <c:v>Fueloil</c:v>
                </c:pt>
              </c:strCache>
            </c:strRef>
          </c:cat>
          <c:val>
            <c:numRef>
              <c:f>'T.AJUNTAMENT'!$B$176:$B$181</c:f>
              <c:numCache>
                <c:formatCode>General</c:formatCode>
                <c:ptCount val="6"/>
                <c:pt idx="0">
                  <c:v>1305.6859944</c:v>
                </c:pt>
                <c:pt idx="1">
                  <c:v>0</c:v>
                </c:pt>
                <c:pt idx="2">
                  <c:v>39.1505844186047</c:v>
                </c:pt>
                <c:pt idx="3">
                  <c:v>183.8821524</c:v>
                </c:pt>
                <c:pt idx="4">
                  <c:v>0</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'T.AJUNTAMENT'!$A$176:$A$181</c:f>
              <c:strCache>
                <c:ptCount val="6"/>
                <c:pt idx="0">
                  <c:v>EE</c:v>
                </c:pt>
                <c:pt idx="1">
                  <c:v>GN</c:v>
                </c:pt>
                <c:pt idx="2">
                  <c:v>GLP</c:v>
                </c:pt>
                <c:pt idx="3">
                  <c:v>Gasoil</c:v>
                </c:pt>
                <c:pt idx="4">
                  <c:v>Gasolina</c:v>
                </c:pt>
                <c:pt idx="5">
                  <c:v>Fueloil</c:v>
                </c:pt>
              </c:strCache>
            </c:strRef>
          </c:cat>
          <c:val>
            <c:numRef>
              <c:f>'T.AJUNTAMENT'!$F$176:$F$181</c:f>
              <c:numCache>
                <c:formatCode>General</c:formatCode>
                <c:ptCount val="6"/>
                <c:pt idx="0">
                  <c:v>1203.8745576</c:v>
                </c:pt>
                <c:pt idx="1">
                  <c:v>0</c:v>
                </c:pt>
                <c:pt idx="2">
                  <c:v>39.1505844186047</c:v>
                </c:pt>
                <c:pt idx="3">
                  <c:v>183.8821524</c:v>
                </c:pt>
                <c:pt idx="4">
                  <c:v>0</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3978866084129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15010799136069"/>
          <c:y val="0.149156675472465"/>
          <c:w val="0.607181425485961"/>
          <c:h val="0.701280227596017"/>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'T.AJUNTAMENT'!$A$228:$A$233</c:f>
              <c:strCache>
                <c:ptCount val="5"/>
                <c:pt idx="0">
                  <c:v>Brigada</c:v>
                </c:pt>
                <c:pt idx="1">
                  <c:v>Policia </c:v>
                </c:pt>
                <c:pt idx="2">
                  <c:v>Medi ambient</c:v>
                </c:pt>
                <c:pt idx="3">
                  <c:v>Serveis socials</c:v>
                </c:pt>
                <c:pt idx="4">
                  <c:v>Altres</c:v>
                </c:pt>
              </c:strCache>
            </c:strRef>
          </c:cat>
          <c:val>
            <c:numRef>
              <c:f>'T.AJUNTAMENT'!$B$228:$B$233</c:f>
              <c:numCache>
                <c:formatCode>General</c:formatCode>
                <c:ptCount val="5"/>
                <c:pt idx="0">
                  <c:v>140002.685</c:v>
                </c:pt>
                <c:pt idx="1">
                  <c:v>243531.285</c:v>
                </c:pt>
                <c:pt idx="2">
                  <c:v>110846.85</c:v>
                </c:pt>
                <c:pt idx="3">
                  <c:v>144100.905</c:v>
                </c:pt>
                <c:pt idx="4">
                  <c:v>159648.08</c:v>
                </c:pt>
              </c:numCache>
            </c:numRef>
          </c:val>
        </c:ser>
      </c:pie3DChart>
      <c:spPr>
        <a:solidFill>
          <a:srgbClr val="d9d9d9"/>
        </a:solidFill>
        <a:ln>
          <a:noFill/>
        </a:ln>
      </c:spPr>
    </c:plotArea>
    <c:legend>
      <c:layout>
        <c:manualLayout>
          <c:xMode val="edge"/>
          <c:yMode val="edge"/>
          <c:x val="0.718817494600432"/>
          <c:y val="0.140012192643772"/>
        </c:manualLayout>
      </c:layout>
      <c:spPr>
        <a:noFill/>
        <a:ln>
          <a:noFill/>
        </a:ln>
      </c:spPr>
    </c:legend>
    <c:plotVisOnly val="1"/>
    <c:dispBlanksAs val="zero"/>
  </c:chart>
  <c:spPr>
    <a:solidFill>
      <a:srgbClr val="ffffff"/>
    </a:solidFill>
    <a:ln>
      <a:noFill/>
    </a:ln>
  </c:spPr>
</c:chartSpace>
</file>

<file path=xl/charts/chart1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3978866084129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95707343412527"/>
          <c:y val="0.143060353586669"/>
          <c:w val="0.58652807775378"/>
          <c:h val="0.856736435683804"/>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'T.AJUNTAMENT'!$A$228:$A$233</c:f>
              <c:strCache>
                <c:ptCount val="5"/>
                <c:pt idx="0">
                  <c:v>Brigada</c:v>
                </c:pt>
                <c:pt idx="1">
                  <c:v>Policia </c:v>
                </c:pt>
                <c:pt idx="2">
                  <c:v>Medi ambient</c:v>
                </c:pt>
                <c:pt idx="3">
                  <c:v>Serveis socials</c:v>
                </c:pt>
                <c:pt idx="4">
                  <c:v>Altres</c:v>
                </c:pt>
              </c:strCache>
            </c:strRef>
          </c:cat>
          <c:val>
            <c:numRef>
              <c:f>'T.AJUNTAMENT'!$F$228:$F$233</c:f>
              <c:numCache>
                <c:formatCode>General</c:formatCode>
                <c:ptCount val="5"/>
                <c:pt idx="0">
                  <c:v>180646.53</c:v>
                </c:pt>
                <c:pt idx="1">
                  <c:v>376215.72</c:v>
                </c:pt>
                <c:pt idx="2">
                  <c:v>110846.85</c:v>
                </c:pt>
                <c:pt idx="3">
                  <c:v>184744.75</c:v>
                </c:pt>
                <c:pt idx="4">
                  <c:v>252020.455</c:v>
                </c:pt>
              </c:numCache>
            </c:numRef>
          </c:val>
        </c:ser>
      </c:pie3DChart>
      <c:spPr>
        <a:solidFill>
          <a:srgbClr val="d9d9d9"/>
        </a:solidFill>
        <a:ln>
          <a:noFill/>
        </a:ln>
      </c:spPr>
    </c:plotArea>
    <c:legend>
      <c:layout>
        <c:manualLayout>
          <c:xMode val="edge"/>
          <c:yMode val="edge"/>
          <c:x val="0.723812095032397"/>
          <c:y val="0.213168055273318"/>
        </c:manualLayout>
      </c:layout>
      <c:spPr>
        <a:noFill/>
        <a:ln>
          <a:noFill/>
        </a:ln>
      </c:spPr>
    </c:legend>
    <c:plotVisOnly val="1"/>
    <c:dispBlanksAs val="zero"/>
  </c:chart>
  <c:spPr>
    <a:solidFill>
      <a:srgbClr val="ffffff"/>
    </a:solidFill>
    <a:ln>
      <a:noFill/>
    </a:ln>
  </c:spPr>
</c:chartSpace>
</file>

<file path=xl/charts/chart12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3978866084129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'T.AJUNTAMENT'!$A$247:$A$252</c:f>
              <c:strCache>
                <c:ptCount val="5"/>
                <c:pt idx="0">
                  <c:v>Brigada</c:v>
                </c:pt>
                <c:pt idx="1">
                  <c:v>Policia </c:v>
                </c:pt>
                <c:pt idx="2">
                  <c:v>Medi ambient</c:v>
                </c:pt>
                <c:pt idx="3">
                  <c:v>Serveis socials</c:v>
                </c:pt>
                <c:pt idx="4">
                  <c:v>Altres</c:v>
                </c:pt>
              </c:strCache>
            </c:strRef>
          </c:cat>
          <c:val>
            <c:numRef>
              <c:f>'T.AJUNTAMENT'!$F$247:$F$252</c:f>
              <c:numCache>
                <c:formatCode>General</c:formatCode>
                <c:ptCount val="5"/>
                <c:pt idx="0">
                  <c:v>47.37527793</c:v>
                </c:pt>
                <c:pt idx="1">
                  <c:v>95.67295758</c:v>
                </c:pt>
                <c:pt idx="2">
                  <c:v>29.59610895</c:v>
                </c:pt>
                <c:pt idx="3">
                  <c:v>49.32684825</c:v>
                </c:pt>
                <c:pt idx="4">
                  <c:v>66.677071785</c:v>
                </c:pt>
              </c:numCache>
            </c:numRef>
          </c:val>
        </c:ser>
      </c:pie3DChart>
      <c:spPr>
        <a:solidFill>
          <a:srgbClr val="d9d9d9"/>
        </a:solidFill>
        <a:ln>
          <a:noFill/>
        </a:ln>
      </c:spPr>
    </c:plotArea>
    <c:legend>
      <c:layout>
        <c:manualLayout>
          <c:xMode val="edge"/>
          <c:yMode val="edge"/>
          <c:x val="0.771193304535637"/>
          <c:y val="0.0144279617963828"/>
        </c:manualLayout>
      </c:layout>
      <c:spPr>
        <a:noFill/>
        <a:ln>
          <a:noFill/>
        </a:ln>
      </c:spPr>
    </c:legend>
    <c:plotVisOnly val="1"/>
    <c:dispBlanksAs val="zero"/>
  </c:chart>
  <c:spPr>
    <a:solidFill>
      <a:srgbClr val="ffffff"/>
    </a:solidFill>
    <a:ln>
      <a:noFill/>
    </a:ln>
  </c:spPr>
</c:chartSpace>
</file>

<file path=xl/charts/chart1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3978866084129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'T.AJUNTAMENT'!$A$247:$A$252</c:f>
              <c:strCache>
                <c:ptCount val="5"/>
                <c:pt idx="0">
                  <c:v>Brigada</c:v>
                </c:pt>
                <c:pt idx="1">
                  <c:v>Policia </c:v>
                </c:pt>
                <c:pt idx="2">
                  <c:v>Medi ambient</c:v>
                </c:pt>
                <c:pt idx="3">
                  <c:v>Serveis socials</c:v>
                </c:pt>
                <c:pt idx="4">
                  <c:v>Altres</c:v>
                </c:pt>
              </c:strCache>
            </c:strRef>
          </c:cat>
          <c:val>
            <c:numRef>
              <c:f>'T.AJUNTAMENT'!$F$247:$F$252</c:f>
              <c:numCache>
                <c:formatCode>General</c:formatCode>
                <c:ptCount val="5"/>
                <c:pt idx="0">
                  <c:v>47.37527793</c:v>
                </c:pt>
                <c:pt idx="1">
                  <c:v>95.67295758</c:v>
                </c:pt>
                <c:pt idx="2">
                  <c:v>29.59610895</c:v>
                </c:pt>
                <c:pt idx="3">
                  <c:v>49.32684825</c:v>
                </c:pt>
                <c:pt idx="4">
                  <c:v>66.677071785</c:v>
                </c:pt>
              </c:numCache>
            </c:numRef>
          </c:val>
        </c:ser>
      </c:pie3DChart>
      <c:spPr>
        <a:solidFill>
          <a:srgbClr val="d9d9d9"/>
        </a:solidFill>
        <a:ln>
          <a:noFill/>
        </a:ln>
      </c:spPr>
    </c:plotArea>
    <c:legend>
      <c:layout>
        <c:manualLayout>
          <c:xMode val="edge"/>
          <c:yMode val="edge"/>
          <c:x val="0.776187904967603"/>
          <c:y val="0.0144279617963828"/>
        </c:manualLayout>
      </c:layout>
      <c:spPr>
        <a:noFill/>
        <a:ln>
          <a:noFill/>
        </a:ln>
      </c:spPr>
    </c:legend>
    <c:plotVisOnly val="1"/>
    <c:dispBlanksAs val="zero"/>
  </c:chart>
  <c:spPr>
    <a:solidFill>
      <a:srgbClr val="ffffff"/>
    </a:solidFill>
    <a:ln>
      <a:noFill/>
    </a:ln>
  </c:spPr>
</c:chartSpace>
</file>

<file path=xl/charts/chart1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'T.AJUNTAMENT'!$A$262</c:f>
              <c:strCache>
                <c:ptCount val="1"/>
                <c:pt idx="0">
                  <c:v>Recollida de residus</c:v>
                </c:pt>
              </c:strCache>
            </c:strRef>
          </c:tx>
          <c:spPr>
            <a:solidFill>
              <a:srgbClr val="4f81bd"/>
            </a:solidFill>
            <a:ln>
              <a:noFill/>
            </a:ln>
          </c:spPr>
          <c:explosion val="0"/>
          <c:dPt>
            <c:idx val="0"/>
            <c:spPr>
              <a:solidFill>
                <a:srgbClr val="4f81bd"/>
              </a:solidFill>
              <a:ln>
                <a:noFill/>
              </a:ln>
            </c:spPr>
          </c:dPt>
          <c:dLbls>
            <c:dLbl>
              <c:idx val="0"/>
              <c:dLblPos val="bestFit"/>
              <c:showLegendKey val="0"/>
              <c:showVal val="0"/>
              <c:showCatName val="0"/>
              <c:showSerName val="0"/>
              <c:showPercent val="1"/>
            </c:dLbl>
            <c:dLblPos val="bestFit"/>
            <c:showLegendKey val="0"/>
            <c:showVal val="0"/>
            <c:showCatName val="0"/>
            <c:showSerName val="0"/>
            <c:showPercent val="1"/>
            <c:showLeaderLines val="0"/>
          </c:dLbls>
          <c:val>
            <c:numRef>
              <c:f>'T.AJUNTAMENT'!$B$262</c:f>
              <c:numCache>
                <c:formatCode>General</c:formatCode>
                <c:ptCount val="1"/>
                <c:pt idx="0">
                  <c:v>577010.49385</c:v>
                </c:pt>
              </c:numCache>
            </c:numRef>
          </c:val>
        </c:ser>
      </c:pie3DChart>
      <c:spPr>
        <a:solidFill>
          <a:srgbClr val="d9d9d9"/>
        </a:solidFill>
        <a:ln>
          <a:noFill/>
        </a:ln>
      </c:spPr>
    </c:plotArea>
    <c:legend>
      <c:layout>
        <c:manualLayout>
          <c:xMode val="edge"/>
          <c:yMode val="edge"/>
          <c:x val="0.766333693304536"/>
          <c:y val="0.0145348837209302"/>
        </c:manualLayout>
      </c:layout>
      <c:spPr>
        <a:noFill/>
        <a:ln>
          <a:noFill/>
        </a:ln>
      </c:spPr>
    </c:legend>
    <c:plotVisOnly val="1"/>
    <c:dispBlanksAs val="zero"/>
  </c:chart>
  <c:spPr>
    <a:solidFill>
      <a:srgbClr val="ffffff"/>
    </a:solidFill>
    <a:ln>
      <a:noFill/>
    </a:ln>
  </c:spPr>
</c:chartSpace>
</file>

<file path=xl/charts/chart12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417656587473"/>
          <c:y val="0.0145348837209302"/>
        </c:manualLayout>
      </c:layout>
      <c:spPr>
        <a:noFill/>
        <a:ln>
          <a:noFill/>
        </a:ln>
      </c:spPr>
    </c:legend>
    <c:plotVisOnly val="1"/>
    <c:dispBlanksAs val="zero"/>
  </c:chart>
  <c:spPr>
    <a:solidFill>
      <a:srgbClr val="ffffff"/>
    </a:solidFill>
    <a:ln>
      <a:noFill/>
    </a:ln>
  </c:spPr>
</c:chartSpace>
</file>

<file path=xl/charts/chart1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088397790055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51619870410367"/>
          <c:y val="0.164419889502762"/>
        </c:manualLayout>
      </c:layout>
      <c:spPr>
        <a:noFill/>
        <a:ln>
          <a:noFill/>
        </a:ln>
      </c:spPr>
    </c:legend>
    <c:plotVisOnly val="1"/>
    <c:dispBlanksAs val="zero"/>
  </c:chart>
  <c:spPr>
    <a:solidFill>
      <a:srgbClr val="ffffff"/>
    </a:solidFill>
    <a:ln>
      <a:noFill/>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 MUNICIPI'!$A$64:$A$69</c:f>
              <c:strCache>
                <c:ptCount val="6"/>
                <c:pt idx="0">
                  <c:v>Primari</c:v>
                </c:pt>
                <c:pt idx="1">
                  <c:v>Industrial</c:v>
                </c:pt>
                <c:pt idx="2">
                  <c:v>Serveis</c:v>
                </c:pt>
                <c:pt idx="3">
                  <c:v>Domèstic</c:v>
                </c:pt>
                <c:pt idx="4">
                  <c:v>Transport</c:v>
                </c:pt>
                <c:pt idx="5">
                  <c:v>Aigua</c:v>
                </c:pt>
              </c:strCache>
            </c:strRef>
          </c:cat>
          <c:val>
            <c:numRef>
              <c:f>'T. MUNICIPI'!$B$64:$B$69</c:f>
              <c:numCache>
                <c:formatCode>General</c:formatCode>
                <c:ptCount val="6"/>
                <c:pt idx="0">
                  <c:v>7350.01409154809</c:v>
                </c:pt>
                <c:pt idx="1">
                  <c:v>16738.9317129936</c:v>
                </c:pt>
                <c:pt idx="2">
                  <c:v>53048.5724228357</c:v>
                </c:pt>
                <c:pt idx="3">
                  <c:v>72157.5889450002</c:v>
                </c:pt>
                <c:pt idx="4">
                  <c:v>87085.2108593324</c:v>
                </c:pt>
                <c:pt idx="5">
                  <c:v>5995.91889</c:v>
                </c:pt>
              </c:numCache>
            </c:numRef>
          </c:val>
        </c:ser>
      </c:pie3DChart>
      <c:spPr>
        <a:solidFill>
          <a:srgbClr val="d9d9d9"/>
        </a:solidFill>
        <a:ln>
          <a:noFill/>
        </a:ln>
      </c:spPr>
    </c:plotArea>
    <c:legend>
      <c:layout>
        <c:manualLayout>
          <c:xMode val="edge"/>
          <c:yMode val="edge"/>
          <c:x val="0.666171706263499"/>
          <c:y val="0"/>
        </c:manualLayout>
      </c:layout>
      <c:spPr>
        <a:noFill/>
        <a:ln>
          <a:noFill/>
        </a:ln>
      </c:spPr>
    </c:legend>
    <c:plotVisOnly val="1"/>
    <c:dispBlanksAs val="zero"/>
  </c:chart>
  <c:spPr>
    <a:solidFill>
      <a:srgbClr val="ffffff"/>
    </a:solidFill>
    <a:ln>
      <a:noFill/>
    </a:ln>
  </c:spPr>
</c:chartSpace>
</file>

<file path=xl/charts/chart1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088397790055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71193304535637"/>
          <c:y val="0.15646408839779"/>
        </c:manualLayout>
      </c:layout>
      <c:spPr>
        <a:noFill/>
        <a:ln>
          <a:noFill/>
        </a:ln>
      </c:spPr>
    </c:legend>
    <c:plotVisOnly val="1"/>
    <c:dispBlanksAs val="zero"/>
  </c:chart>
  <c:spPr>
    <a:solidFill>
      <a:srgbClr val="ffffff"/>
    </a:solidFill>
    <a:ln>
      <a:noFill/>
    </a:ln>
  </c:spPr>
</c:chartSpace>
</file>

<file path=xl/charts/chart13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116535433070866"/>
          <c:w val="0.680514825676116"/>
          <c:h val="0.720629921259842"/>
        </c:manualLayout>
      </c:layout>
      <c:barChart>
        <c:barDir val="col"/>
        <c:grouping val="clustered"/>
        <c:varyColors val="0"/>
        <c:ser>
          <c:idx val="0"/>
          <c:order val="0"/>
          <c:tx>
            <c:strRef>
              <c:f>'T.AJUNTAMENT'!$A$292</c:f>
              <c:strCache>
                <c:ptCount val="1"/>
                <c:pt idx="0">
                  <c:v>Transport públic escolar</c:v>
                </c:pt>
              </c:strCache>
            </c:strRef>
          </c:tx>
          <c:spPr>
            <a:solidFill>
              <a:srgbClr val="4f81bd"/>
            </a:solidFill>
            <a:ln>
              <a:noFill/>
            </a:ln>
          </c:spPr>
          <c:invertIfNegative val="0"/>
          <c:dLbls>
            <c:showLegendKey val="0"/>
            <c:showVal val="0"/>
            <c:showCatName val="0"/>
            <c:showSerName val="0"/>
            <c:showPercent val="0"/>
            <c:showLeaderLines val="0"/>
          </c:dLbls>
          <c:cat>
            <c:strRef>
              <c:f>'T.AJUNTAMENT'!$B$291:$G$291</c:f>
              <c:strCache>
                <c:ptCount val="6"/>
                <c:pt idx="0">
                  <c:v>2005</c:v>
                </c:pt>
                <c:pt idx="1">
                  <c:v>2006</c:v>
                </c:pt>
                <c:pt idx="2">
                  <c:v>2007</c:v>
                </c:pt>
                <c:pt idx="3">
                  <c:v>2008</c:v>
                </c:pt>
                <c:pt idx="4">
                  <c:v>2009</c:v>
                </c:pt>
                <c:pt idx="5">
                  <c:v>2010</c:v>
                </c:pt>
              </c:strCache>
            </c:strRef>
          </c:cat>
          <c:val>
            <c:numRef>
              <c:f>'T.AJUNTAMENT'!$B$292:$G$292</c:f>
              <c:numCache>
                <c:formatCode>General</c:formatCode>
                <c:ptCount val="6"/>
                <c:pt idx="0">
                  <c:v/>
                </c:pt>
                <c:pt idx="1">
                  <c:v/>
                </c:pt>
                <c:pt idx="2">
                  <c:v/>
                </c:pt>
                <c:pt idx="3">
                  <c:v/>
                </c:pt>
                <c:pt idx="4">
                  <c:v/>
                </c:pt>
                <c:pt idx="5">
                  <c:v/>
                </c:pt>
              </c:numCache>
            </c:numRef>
          </c:val>
        </c:ser>
        <c:gapWidth val="150"/>
        <c:overlap val="0"/>
        <c:axId val="92996892"/>
        <c:axId val="98570428"/>
      </c:barChart>
      <c:catAx>
        <c:axId val="92996892"/>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8570428"/>
        <c:crosses val="autoZero"/>
        <c:auto val="1"/>
        <c:lblAlgn val="ctr"/>
        <c:lblOffset val="100"/>
      </c:catAx>
      <c:valAx>
        <c:axId val="98570428"/>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transport públic escolar </a:t>
                </a:r>
              </a:p>
            </c:rich>
          </c:tx>
          <c:overlay val="0"/>
        </c:title>
        <c:numFmt formatCode="#,##0.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2996892"/>
        <c:crosses val="autoZero"/>
        <c:crossBetween val="midCat"/>
      </c:valAx>
      <c:spPr>
        <a:solidFill>
          <a:srgbClr val="ffffff"/>
        </a:solidFill>
        <a:ln>
          <a:noFill/>
        </a:ln>
      </c:spPr>
    </c:plotArea>
    <c:legend>
      <c:layout>
        <c:manualLayout>
          <c:xMode val="edge"/>
          <c:yMode val="edge"/>
          <c:x val="0.833577712609971"/>
          <c:y val="0.45511811023622"/>
        </c:manualLayout>
      </c:layout>
      <c:spPr>
        <a:noFill/>
        <a:ln>
          <a:noFill/>
        </a:ln>
      </c:spPr>
    </c:legend>
    <c:plotVisOnly val="1"/>
    <c:dispBlanksAs val="gap"/>
  </c:chart>
  <c:spPr>
    <a:solidFill>
      <a:srgbClr val="ffffff"/>
    </a:solidFill>
    <a:ln>
      <a:noFill/>
    </a:ln>
  </c:spPr>
</c:chartSpace>
</file>

<file path=xl/charts/chart1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51619870410367"/>
          <c:y val="0.164355992844365"/>
        </c:manualLayout>
      </c:layout>
      <c:spPr>
        <a:noFill/>
        <a:ln>
          <a:noFill/>
        </a:ln>
      </c:spPr>
    </c:legend>
    <c:plotVisOnly val="1"/>
    <c:dispBlanksAs val="zero"/>
  </c:chart>
  <c:spPr>
    <a:solidFill>
      <a:srgbClr val="ffffff"/>
    </a:solidFill>
    <a:ln>
      <a:noFill/>
    </a:ln>
  </c:spPr>
</c:chartSpace>
</file>

<file path=xl/charts/chart1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71193304535637"/>
          <c:y val="0.156529516994633"/>
        </c:manualLayout>
      </c:layout>
      <c:spPr>
        <a:noFill/>
        <a:ln>
          <a:noFill/>
        </a:ln>
      </c:spPr>
    </c:legend>
    <c:plotVisOnly val="1"/>
    <c:dispBlanksAs val="zero"/>
  </c:chart>
  <c:spPr>
    <a:solidFill>
      <a:srgbClr val="ffffff"/>
    </a:solidFill>
    <a:ln>
      <a:noFill/>
    </a:ln>
  </c:spPr>
</c:chartSpace>
</file>

<file path=xl/charts/chart13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116535433070866"/>
          <c:w val="0.656647116324536"/>
          <c:h val="0.720629921259842"/>
        </c:manualLayout>
      </c:layout>
      <c:barChart>
        <c:barDir val="col"/>
        <c:grouping val="clustered"/>
        <c:varyColors val="0"/>
        <c:ser>
          <c:idx val="0"/>
          <c:order val="0"/>
          <c:tx>
            <c:strRef>
              <c:f>'T.AJUNTAMENT'!$A$306</c:f>
              <c:strCache>
                <c:ptCount val="1"/>
                <c:pt idx="0">
                  <c:v>Transport públic</c:v>
                </c:pt>
              </c:strCache>
            </c:strRef>
          </c:tx>
          <c:spPr>
            <a:solidFill>
              <a:srgbClr val="4f81bd"/>
            </a:solidFill>
            <a:ln>
              <a:noFill/>
            </a:ln>
          </c:spPr>
          <c:invertIfNegative val="0"/>
          <c:dLbls>
            <c:showLegendKey val="0"/>
            <c:showVal val="0"/>
            <c:showCatName val="0"/>
            <c:showSerName val="0"/>
            <c:showPercent val="0"/>
            <c:showLeaderLines val="0"/>
          </c:dLbls>
          <c:cat>
            <c:strRef>
              <c:f>'T.AJUNTAMENT'!$B$305:$G$305</c:f>
              <c:strCache>
                <c:ptCount val="6"/>
                <c:pt idx="0">
                  <c:v>2005</c:v>
                </c:pt>
                <c:pt idx="1">
                  <c:v>2006</c:v>
                </c:pt>
                <c:pt idx="2">
                  <c:v>2007</c:v>
                </c:pt>
                <c:pt idx="3">
                  <c:v>2008</c:v>
                </c:pt>
                <c:pt idx="4">
                  <c:v>2009</c:v>
                </c:pt>
                <c:pt idx="5">
                  <c:v>2010</c:v>
                </c:pt>
              </c:strCache>
            </c:strRef>
          </c:cat>
          <c:val>
            <c:numRef>
              <c:f>'T.AJUNTAMENT'!$B$306:$G$306</c:f>
              <c:numCache>
                <c:formatCode>General</c:formatCode>
                <c:ptCount val="6"/>
                <c:pt idx="0">
                  <c:v/>
                </c:pt>
                <c:pt idx="1">
                  <c:v/>
                </c:pt>
                <c:pt idx="2">
                  <c:v/>
                </c:pt>
                <c:pt idx="3">
                  <c:v/>
                </c:pt>
                <c:pt idx="4">
                  <c:v/>
                </c:pt>
                <c:pt idx="5">
                  <c:v/>
                </c:pt>
              </c:numCache>
            </c:numRef>
          </c:val>
        </c:ser>
        <c:gapWidth val="150"/>
        <c:overlap val="0"/>
        <c:axId val="94106177"/>
        <c:axId val="59443861"/>
      </c:barChart>
      <c:catAx>
        <c:axId val="94106177"/>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9443861"/>
        <c:crosses val="autoZero"/>
        <c:auto val="1"/>
        <c:lblAlgn val="ctr"/>
        <c:lblOffset val="100"/>
      </c:catAx>
      <c:valAx>
        <c:axId val="59443861"/>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transport públic escolar </a:t>
                </a:r>
              </a:p>
            </c:rich>
          </c:tx>
          <c:overlay val="0"/>
        </c:title>
        <c:numFmt formatCode="#,##0.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4106177"/>
        <c:crosses val="autoZero"/>
        <c:crossBetween val="midCat"/>
      </c:valAx>
      <c:spPr>
        <a:solidFill>
          <a:srgbClr val="ffffff"/>
        </a:solidFill>
        <a:ln>
          <a:noFill/>
        </a:ln>
      </c:spPr>
    </c:plotArea>
    <c:legend>
      <c:layout>
        <c:manualLayout>
          <c:xMode val="edge"/>
          <c:yMode val="edge"/>
          <c:x val="0.834881068752036"/>
          <c:y val="0.45511811023622"/>
        </c:manualLayout>
      </c:layout>
      <c:spPr>
        <a:noFill/>
        <a:ln>
          <a:noFill/>
        </a:ln>
      </c:spPr>
    </c:legend>
    <c:plotVisOnly val="1"/>
    <c:dispBlanksAs val="gap"/>
  </c:chart>
  <c:spPr>
    <a:solidFill>
      <a:srgbClr val="ffffff"/>
    </a:solidFill>
    <a:ln>
      <a:noFill/>
    </a:ln>
  </c:spPr>
</c:chartSpace>
</file>

<file path=xl/charts/chart1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51619870410367"/>
          <c:y val="0.164355992844365"/>
        </c:manualLayout>
      </c:layout>
      <c:spPr>
        <a:noFill/>
        <a:ln>
          <a:noFill/>
        </a:ln>
      </c:spPr>
    </c:legend>
    <c:plotVisOnly val="1"/>
    <c:dispBlanksAs val="zero"/>
  </c:chart>
  <c:spPr>
    <a:solidFill>
      <a:srgbClr val="ffffff"/>
    </a:solidFill>
    <a:ln>
      <a:noFill/>
    </a:ln>
  </c:spPr>
</c:chartSpace>
</file>

<file path=xl/charts/chart1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cat>
            <c:strRef>
              <c:f>categories</c:f>
              <c:strCache>
                <c:ptCount val="0"/>
              </c:strCache>
            </c:strRef>
          </c:cat>
        </c:ser>
      </c:pie3DChart>
      <c:spPr>
        <a:solidFill>
          <a:srgbClr val="d9d9d9"/>
        </a:solidFill>
        <a:ln>
          <a:noFill/>
        </a:ln>
      </c:spPr>
    </c:plotArea>
    <c:legend>
      <c:layout>
        <c:manualLayout>
          <c:xMode val="edge"/>
          <c:yMode val="edge"/>
          <c:x val="0.771193304535637"/>
          <c:y val="0.156529516994633"/>
        </c:manualLayout>
      </c:layout>
      <c:spPr>
        <a:noFill/>
        <a:ln>
          <a:noFill/>
        </a:ln>
      </c:spPr>
    </c:legend>
    <c:plotVisOnly val="1"/>
    <c:dispBlanksAs val="zero"/>
  </c:chart>
  <c:spPr>
    <a:solidFill>
      <a:srgbClr val="ffffff"/>
    </a:solidFill>
    <a:ln>
      <a:noFill/>
    </a:ln>
  </c:spPr>
</c:chartSpace>
</file>

<file path=xl/charts/chart13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45975887911372"/>
          <c:y val="0.116535433070866"/>
          <c:w val="0.653633105246009"/>
          <c:h val="0.720629921259842"/>
        </c:manualLayout>
      </c:layout>
      <c:barChart>
        <c:barDir val="col"/>
        <c:grouping val="clustered"/>
        <c:varyColors val="0"/>
        <c:ser>
          <c:idx val="0"/>
          <c:order val="0"/>
          <c:tx>
            <c:strRef>
              <c:f>'T.AJUNTAMENT'!$A$320</c:f>
              <c:strCache>
                <c:ptCount val="1"/>
                <c:pt idx="0">
                  <c:v>Bombament</c:v>
                </c:pt>
              </c:strCache>
            </c:strRef>
          </c:tx>
          <c:spPr>
            <a:solidFill>
              <a:srgbClr val="4f81bd"/>
            </a:solidFill>
            <a:ln>
              <a:noFill/>
            </a:ln>
          </c:spPr>
          <c:invertIfNegative val="0"/>
          <c:dLbls>
            <c:showLegendKey val="0"/>
            <c:showVal val="0"/>
            <c:showCatName val="0"/>
            <c:showSerName val="0"/>
            <c:showPercent val="0"/>
            <c:showLeaderLines val="0"/>
          </c:dLbls>
          <c:cat>
            <c:strRef>
              <c:f>'T.AJUNTAMENT'!$B$319:$G$319</c:f>
              <c:strCache>
                <c:ptCount val="6"/>
                <c:pt idx="0">
                  <c:v>2005</c:v>
                </c:pt>
                <c:pt idx="1">
                  <c:v>2006</c:v>
                </c:pt>
                <c:pt idx="2">
                  <c:v>2007</c:v>
                </c:pt>
                <c:pt idx="3">
                  <c:v>2008</c:v>
                </c:pt>
                <c:pt idx="4">
                  <c:v>2009</c:v>
                </c:pt>
                <c:pt idx="5">
                  <c:v>2010</c:v>
                </c:pt>
              </c:strCache>
            </c:strRef>
          </c:cat>
          <c:val>
            <c:numRef>
              <c:f>'T.AJUNTAMENT'!$B$320:$G$320</c:f>
              <c:numCache>
                <c:formatCode>General</c:formatCode>
                <c:ptCount val="6"/>
                <c:pt idx="0">
                  <c:v>5631.29415</c:v>
                </c:pt>
                <c:pt idx="1">
                  <c:v>6282.35712</c:v>
                </c:pt>
                <c:pt idx="2">
                  <c:v>6378.18426</c:v>
                </c:pt>
                <c:pt idx="3">
                  <c:v>6693.7638</c:v>
                </c:pt>
                <c:pt idx="4">
                  <c:v>6891.7632</c:v>
                </c:pt>
                <c:pt idx="5">
                  <c:v>4016.25713</c:v>
                </c:pt>
              </c:numCache>
            </c:numRef>
          </c:val>
        </c:ser>
        <c:gapWidth val="150"/>
        <c:overlap val="0"/>
        <c:axId val="86508077"/>
        <c:axId val="32644620"/>
      </c:barChart>
      <c:catAx>
        <c:axId val="86508077"/>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2644620"/>
        <c:crosses val="autoZero"/>
        <c:auto val="1"/>
        <c:lblAlgn val="ctr"/>
        <c:lblOffset val="100"/>
      </c:catAx>
      <c:valAx>
        <c:axId val="3264462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bombament aigua</a:t>
                </a:r>
              </a:p>
            </c:rich>
          </c:tx>
          <c:overlay val="0"/>
        </c:title>
        <c:numFmt formatCode="#,##0.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6508077"/>
        <c:crosses val="autoZero"/>
        <c:crossBetween val="midCat"/>
      </c:valAx>
      <c:spPr>
        <a:solidFill>
          <a:srgbClr val="ffffff"/>
        </a:solidFill>
        <a:ln>
          <a:noFill/>
        </a:ln>
      </c:spPr>
    </c:plotArea>
    <c:legend>
      <c:layout>
        <c:manualLayout>
          <c:xMode val="edge"/>
          <c:yMode val="edge"/>
          <c:x val="0.816715542521994"/>
          <c:y val="0.448188976377953"/>
        </c:manualLayout>
      </c:layout>
      <c:spPr>
        <a:noFill/>
        <a:ln>
          <a:noFill/>
        </a:ln>
      </c:spPr>
    </c:legend>
    <c:plotVisOnly val="1"/>
    <c:dispBlanksAs val="gap"/>
  </c:chart>
  <c:spPr>
    <a:solidFill>
      <a:srgbClr val="ffffff"/>
    </a:solidFill>
    <a:ln>
      <a:noFill/>
    </a:ln>
  </c:spPr>
</c:chartSpace>
</file>

<file path=xl/charts/chart138.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116535433070866"/>
          <c:w val="0.668621700879765"/>
          <c:h val="0.720629921259842"/>
        </c:manualLayout>
      </c:layout>
      <c:barChart>
        <c:barDir val="col"/>
        <c:grouping val="clustered"/>
        <c:varyColors val="0"/>
        <c:ser>
          <c:idx val="0"/>
          <c:order val="0"/>
          <c:tx>
            <c:strRef>
              <c:f>'T.AJUNTAMENT'!$A$335</c:f>
              <c:strCache>
                <c:ptCount val="1"/>
                <c:pt idx="0">
                  <c:v>Bombament</c:v>
                </c:pt>
              </c:strCache>
            </c:strRef>
          </c:tx>
          <c:spPr>
            <a:solidFill>
              <a:srgbClr val="4f81bd"/>
            </a:solidFill>
            <a:ln>
              <a:noFill/>
            </a:ln>
          </c:spPr>
          <c:invertIfNegative val="0"/>
          <c:dLbls>
            <c:showLegendKey val="0"/>
            <c:showVal val="0"/>
            <c:showCatName val="0"/>
            <c:showSerName val="0"/>
            <c:showPercent val="0"/>
            <c:showLeaderLines val="0"/>
          </c:dLbls>
          <c:cat>
            <c:strRef>
              <c:f>'T.AJUNTAMENT'!$B$334:$G$334</c:f>
              <c:strCache>
                <c:ptCount val="6"/>
                <c:pt idx="0">
                  <c:v>2005</c:v>
                </c:pt>
                <c:pt idx="1">
                  <c:v>2006</c:v>
                </c:pt>
                <c:pt idx="2">
                  <c:v>2007</c:v>
                </c:pt>
                <c:pt idx="3">
                  <c:v>2008</c:v>
                </c:pt>
                <c:pt idx="4">
                  <c:v>2009</c:v>
                </c:pt>
                <c:pt idx="5">
                  <c:v>2010</c:v>
                </c:pt>
              </c:strCache>
            </c:strRef>
          </c:cat>
          <c:val>
            <c:numRef>
              <c:f>'T.AJUNTAMENT'!$B$335:$G$335</c:f>
              <c:numCache>
                <c:formatCode>General</c:formatCode>
                <c:ptCount val="6"/>
                <c:pt idx="0">
                  <c:v>4751.68600377</c:v>
                </c:pt>
                <c:pt idx="1">
                  <c:v>5706.893207808</c:v>
                </c:pt>
                <c:pt idx="2">
                  <c:v>5237.127095886</c:v>
                </c:pt>
                <c:pt idx="3">
                  <c:v>5537.08141536</c:v>
                </c:pt>
                <c:pt idx="4">
                  <c:v>5844.90436992</c:v>
                </c:pt>
                <c:pt idx="5">
                  <c:v>3406.187671953</c:v>
                </c:pt>
              </c:numCache>
            </c:numRef>
          </c:val>
        </c:ser>
        <c:gapWidth val="150"/>
        <c:overlap val="0"/>
        <c:axId val="75367380"/>
        <c:axId val="65827059"/>
      </c:barChart>
      <c:catAx>
        <c:axId val="75367380"/>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5827059"/>
        <c:crosses val="autoZero"/>
        <c:auto val="1"/>
        <c:lblAlgn val="ctr"/>
        <c:lblOffset val="100"/>
      </c:catAx>
      <c:valAx>
        <c:axId val="6582705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bombament aigua</a:t>
                </a:r>
              </a:p>
            </c:rich>
          </c:tx>
          <c:overlay val="0"/>
        </c:title>
        <c:numFmt formatCode="#,##0.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5367380"/>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3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24358974359"/>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'T.AJUNTAMENT'!$A$320</c:f>
              <c:strCache>
                <c:ptCount val="1"/>
                <c:pt idx="0">
                  <c:v>Bombament</c:v>
                </c:pt>
              </c:strCache>
            </c:strRef>
          </c:tx>
          <c:spPr>
            <a:solidFill>
              <a:srgbClr val="4f81bd"/>
            </a:solidFill>
            <a:ln>
              <a:noFill/>
            </a:ln>
          </c:spPr>
          <c:explosion val="0"/>
          <c:dPt>
            <c:idx val="0"/>
            <c:spPr>
              <a:solidFill>
                <a:srgbClr val="4f81bd"/>
              </a:solidFill>
              <a:ln>
                <a:noFill/>
              </a:ln>
            </c:spPr>
          </c:dPt>
          <c:dLbls>
            <c:dLbl>
              <c:idx val="0"/>
              <c:dLblPos val="bestFit"/>
              <c:showLegendKey val="0"/>
              <c:showVal val="0"/>
              <c:showCatName val="0"/>
              <c:showSerName val="0"/>
              <c:showPercent val="1"/>
            </c:dLbl>
            <c:dLblPos val="bestFit"/>
            <c:showLegendKey val="0"/>
            <c:showVal val="0"/>
            <c:showCatName val="0"/>
            <c:showSerName val="0"/>
            <c:showPercent val="1"/>
            <c:showLeaderLines val="0"/>
          </c:dLbls>
          <c:val>
            <c:numRef>
              <c:f>'T.AJUNTAMENT'!$B$320</c:f>
              <c:numCache>
                <c:formatCode>General</c:formatCode>
                <c:ptCount val="1"/>
                <c:pt idx="0">
                  <c:v>5631.29415</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 MUNICIPI'!$A$64:$A$69</c:f>
              <c:strCache>
                <c:ptCount val="6"/>
                <c:pt idx="0">
                  <c:v>Primari</c:v>
                </c:pt>
                <c:pt idx="1">
                  <c:v>Industrial</c:v>
                </c:pt>
                <c:pt idx="2">
                  <c:v>Serveis</c:v>
                </c:pt>
                <c:pt idx="3">
                  <c:v>Domèstic</c:v>
                </c:pt>
                <c:pt idx="4">
                  <c:v>Transport</c:v>
                </c:pt>
                <c:pt idx="5">
                  <c:v>Aigua</c:v>
                </c:pt>
              </c:strCache>
            </c:strRef>
          </c:cat>
          <c:val>
            <c:numRef>
              <c:f>'T. MUNICIPI'!$F$64:$F$69</c:f>
              <c:numCache>
                <c:formatCode>General</c:formatCode>
                <c:ptCount val="6"/>
                <c:pt idx="0">
                  <c:v>4786.79104157069</c:v>
                </c:pt>
                <c:pt idx="1">
                  <c:v>13508.5774519396</c:v>
                </c:pt>
                <c:pt idx="2">
                  <c:v>54258.8961833933</c:v>
                </c:pt>
                <c:pt idx="3">
                  <c:v>74107.3940507986</c:v>
                </c:pt>
                <c:pt idx="4">
                  <c:v>89315.9404665966</c:v>
                </c:pt>
                <c:pt idx="5">
                  <c:v>7323.80208</c:v>
                </c:pt>
              </c:numCache>
            </c:numRef>
          </c:val>
        </c:ser>
      </c:pie3DChart>
      <c:spPr>
        <a:solidFill>
          <a:srgbClr val="d9d9d9"/>
        </a:solidFill>
        <a:ln>
          <a:noFill/>
        </a:ln>
      </c:spPr>
    </c:plotArea>
    <c:legend>
      <c:layout>
        <c:manualLayout>
          <c:xMode val="edge"/>
          <c:yMode val="edge"/>
          <c:x val="0.64659060758822"/>
          <c:y val="0.014026402640264"/>
        </c:manualLayout>
      </c:layout>
      <c:spPr>
        <a:noFill/>
        <a:ln>
          <a:noFill/>
        </a:ln>
      </c:spPr>
    </c:legend>
    <c:plotVisOnly val="1"/>
    <c:dispBlanksAs val="zero"/>
  </c:chart>
  <c:spPr>
    <a:solidFill>
      <a:srgbClr val="ffffff"/>
    </a:solidFill>
    <a:ln>
      <a:noFill/>
    </a:ln>
  </c:spPr>
</c:chartSpace>
</file>

<file path=xl/charts/chart14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0268336314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'T.AJUNTAMENT'!$F$319</c:f>
              <c:strCache>
                <c:ptCount val="1"/>
                <c:pt idx="0">
                  <c:v>2009</c:v>
                </c:pt>
              </c:strCache>
            </c:strRef>
          </c:tx>
          <c:spPr>
            <a:solidFill>
              <a:srgbClr val="4f81bd"/>
            </a:solidFill>
            <a:ln>
              <a:noFill/>
            </a:ln>
          </c:spPr>
          <c:explosion val="0"/>
          <c:dPt>
            <c:idx val="0"/>
            <c:spPr>
              <a:solidFill>
                <a:srgbClr val="4f81bd"/>
              </a:solidFill>
              <a:ln>
                <a:noFill/>
              </a:ln>
            </c:spPr>
          </c:dPt>
          <c:dLbls>
            <c:dLbl>
              <c:idx val="0"/>
              <c:dLblPos val="bestFit"/>
              <c:showLegendKey val="0"/>
              <c:showVal val="0"/>
              <c:showCatName val="0"/>
              <c:showSerName val="0"/>
              <c:showPercent val="1"/>
            </c:dLbl>
            <c:dLblPos val="bestFit"/>
            <c:showLegendKey val="0"/>
            <c:showVal val="0"/>
            <c:showCatName val="0"/>
            <c:showSerName val="0"/>
            <c:showPercent val="1"/>
            <c:showLeaderLines val="0"/>
          </c:dLbls>
          <c:cat>
            <c:strRef>
              <c:f>'T.AJUNTAMENT'!$A$320</c:f>
              <c:strCache>
                <c:ptCount val="1"/>
                <c:pt idx="0">
                  <c:v>Bombament</c:v>
                </c:pt>
              </c:strCache>
            </c:strRef>
          </c:cat>
          <c:val>
            <c:numRef>
              <c:f>'T.AJUNTAMENT'!$F$320</c:f>
              <c:numCache>
                <c:formatCode>General</c:formatCode>
                <c:ptCount val="1"/>
                <c:pt idx="0">
                  <c:v>6891.7632</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4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24358974359"/>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Lbls>
            <c:dLbl>
              <c:idx val="0"/>
              <c:dLblPos val="bestFit"/>
              <c:showLegendKey val="0"/>
              <c:showVal val="0"/>
              <c:showCatName val="0"/>
              <c:showSerName val="0"/>
              <c:showPercent val="1"/>
            </c:dLbl>
            <c:dLblPos val="bestFit"/>
            <c:showLegendKey val="0"/>
            <c:showVal val="0"/>
            <c:showCatName val="0"/>
            <c:showSerName val="0"/>
            <c:showPercent val="1"/>
            <c:showLeaderLines val="0"/>
          </c:dLbls>
          <c:val>
            <c:numRef>
              <c:f>'T.AJUNTAMENT'!$B$335</c:f>
              <c:numCache>
                <c:formatCode>General</c:formatCode>
                <c:ptCount val="1"/>
                <c:pt idx="0">
                  <c:v>4751.68600377</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4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'T.AJUNTAMENT'!$A$335</c:f>
              <c:strCache>
                <c:ptCount val="1"/>
                <c:pt idx="0">
                  <c:v>Bombament</c:v>
                </c:pt>
              </c:strCache>
            </c:strRef>
          </c:tx>
          <c:spPr>
            <a:solidFill>
              <a:srgbClr val="4f81bd"/>
            </a:solidFill>
            <a:ln>
              <a:noFill/>
            </a:ln>
          </c:spPr>
          <c:explosion val="0"/>
          <c:dPt>
            <c:idx val="0"/>
            <c:spPr>
              <a:solidFill>
                <a:srgbClr val="4f81bd"/>
              </a:solidFill>
              <a:ln>
                <a:noFill/>
              </a:ln>
            </c:spPr>
          </c:dPt>
          <c:dLbls>
            <c:dLbl>
              <c:idx val="0"/>
              <c:dLblPos val="bestFit"/>
              <c:showLegendKey val="0"/>
              <c:showVal val="0"/>
              <c:showCatName val="0"/>
              <c:showSerName val="0"/>
              <c:showPercent val="1"/>
            </c:dLbl>
            <c:dLblPos val="bestFit"/>
            <c:showLegendKey val="0"/>
            <c:showVal val="0"/>
            <c:showCatName val="0"/>
            <c:showSerName val="0"/>
            <c:showPercent val="1"/>
            <c:showLeaderLines val="0"/>
          </c:dLbls>
          <c:cat>
            <c:strRef>
              <c:f>'T.AJUNTAMENT'!$F$334</c:f>
              <c:strCache>
                <c:ptCount val="1"/>
                <c:pt idx="0">
                  <c:v>2009</c:v>
                </c:pt>
              </c:strCache>
            </c:strRef>
          </c:cat>
          <c:val>
            <c:numRef>
              <c:f>'T.AJUNTAMENT'!$F$335</c:f>
              <c:numCache>
                <c:formatCode>General</c:formatCode>
                <c:ptCount val="1"/>
                <c:pt idx="0">
                  <c:v>5844.90436992</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4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0651257223177"/>
          <c:w val="0.626018246985989"/>
          <c:h val="0.776042480087459"/>
        </c:manualLayout>
      </c:layout>
      <c:barChart>
        <c:barDir val="col"/>
        <c:grouping val="stacked"/>
        <c:varyColors val="0"/>
        <c:ser>
          <c:idx val="0"/>
          <c:order val="0"/>
          <c:tx>
            <c:strRef>
              <c:f>'T.AJUNTAMENT'!$A$192</c:f>
              <c:strCache>
                <c:ptCount val="1"/>
                <c:pt idx="0">
                  <c:v>Administratiu</c:v>
                </c:pt>
              </c:strCache>
            </c:strRef>
          </c:tx>
          <c:spPr>
            <a:solidFill>
              <a:srgbClr val="4f81bd"/>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'T.AJUNTAMENT'!$B$192:$G$192</c:f>
              <c:numCache>
                <c:formatCode>General</c:formatCode>
                <c:ptCount val="6"/>
                <c:pt idx="0">
                  <c:v>271.308</c:v>
                </c:pt>
                <c:pt idx="1">
                  <c:v>333.631</c:v>
                </c:pt>
                <c:pt idx="2">
                  <c:v>373.511</c:v>
                </c:pt>
                <c:pt idx="3">
                  <c:v>340.182</c:v>
                </c:pt>
                <c:pt idx="4">
                  <c:v>342.314</c:v>
                </c:pt>
                <c:pt idx="5">
                  <c:v>289.718</c:v>
                </c:pt>
              </c:numCache>
            </c:numRef>
          </c:val>
        </c:ser>
        <c:ser>
          <c:idx val="1"/>
          <c:order val="1"/>
          <c:tx>
            <c:strRef>
              <c:f>'T.AJUNTAMENT'!$A$193</c:f>
              <c:strCache>
                <c:ptCount val="1"/>
                <c:pt idx="0">
                  <c:v>Educatiu</c:v>
                </c:pt>
              </c:strCache>
            </c:strRef>
          </c:tx>
          <c:spPr>
            <a:solidFill>
              <a:srgbClr val="c0504d"/>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'T.AJUNTAMENT'!$B$193:$G$193</c:f>
              <c:numCache>
                <c:formatCode>General</c:formatCode>
                <c:ptCount val="6"/>
                <c:pt idx="0">
                  <c:v>275.54</c:v>
                </c:pt>
                <c:pt idx="1">
                  <c:v>271.31</c:v>
                </c:pt>
                <c:pt idx="2">
                  <c:v>242.696</c:v>
                </c:pt>
                <c:pt idx="3">
                  <c:v>258.345</c:v>
                </c:pt>
                <c:pt idx="4">
                  <c:v>298.786</c:v>
                </c:pt>
                <c:pt idx="5">
                  <c:v>279.96</c:v>
                </c:pt>
              </c:numCache>
            </c:numRef>
          </c:val>
        </c:ser>
        <c:ser>
          <c:idx val="2"/>
          <c:order val="2"/>
          <c:tx>
            <c:strRef>
              <c:f>'T.AJUNTAMENT'!$A$194</c:f>
              <c:strCache>
                <c:ptCount val="1"/>
                <c:pt idx="0">
                  <c:v>Esportiu amb piscina</c:v>
                </c:pt>
              </c:strCache>
            </c:strRef>
          </c:tx>
          <c:spPr>
            <a:solidFill>
              <a:srgbClr val="9bbb59"/>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'T.AJUNTAMENT'!$B$194:$G$194</c:f>
              <c:numCache>
                <c:formatCode>General</c:formatCode>
                <c:ptCount val="6"/>
                <c:pt idx="0">
                  <c:v>1206.25887441861</c:v>
                </c:pt>
                <c:pt idx="1">
                  <c:v>1156.9028744186</c:v>
                </c:pt>
                <c:pt idx="2">
                  <c:v>1168.46287441861</c:v>
                </c:pt>
                <c:pt idx="3">
                  <c:v>1143.9418744186</c:v>
                </c:pt>
                <c:pt idx="4">
                  <c:v>1087.5778744186</c:v>
                </c:pt>
                <c:pt idx="5">
                  <c:v>1115.9378744186</c:v>
                </c:pt>
              </c:numCache>
            </c:numRef>
          </c:val>
        </c:ser>
        <c:ser>
          <c:idx val="3"/>
          <c:order val="3"/>
          <c:tx>
            <c:strRef>
              <c:f>'T.AJUNTAMENT'!$A$195</c:f>
              <c:strCache>
                <c:ptCount val="1"/>
                <c:pt idx="0">
                  <c:v>Esportiu sense piscina</c:v>
                </c:pt>
              </c:strCache>
            </c:strRef>
          </c:tx>
          <c:spPr>
            <a:solidFill>
              <a:srgbClr val="8064a2"/>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'T.AJUNTAMENT'!$B$195:$G$195</c:f>
              <c:numCache>
                <c:formatCode>General</c:formatCode>
                <c:ptCount val="6"/>
                <c:pt idx="0">
                  <c:v>256.857860465116</c:v>
                </c:pt>
                <c:pt idx="1">
                  <c:v>222.565860465116</c:v>
                </c:pt>
                <c:pt idx="2">
                  <c:v>239.673860465116</c:v>
                </c:pt>
                <c:pt idx="3">
                  <c:v>217.822860465116</c:v>
                </c:pt>
                <c:pt idx="4">
                  <c:v>204.450860465116</c:v>
                </c:pt>
                <c:pt idx="5">
                  <c:v>199.997860465116</c:v>
                </c:pt>
              </c:numCache>
            </c:numRef>
          </c:val>
        </c:ser>
        <c:ser>
          <c:idx val="4"/>
          <c:order val="4"/>
          <c:tx>
            <c:strRef>
              <c:f>'T.AJUNTAMENT'!$A$196</c:f>
              <c:strCache>
                <c:ptCount val="1"/>
                <c:pt idx="0">
                  <c:v>Sociocultural</c:v>
                </c:pt>
              </c:strCache>
            </c:strRef>
          </c:tx>
          <c:spPr>
            <a:solidFill>
              <a:srgbClr val="4bacc6"/>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'T.AJUNTAMENT'!$B$196:$G$196</c:f>
              <c:numCache>
                <c:formatCode>General</c:formatCode>
                <c:ptCount val="6"/>
                <c:pt idx="0">
                  <c:v>274.335</c:v>
                </c:pt>
                <c:pt idx="1">
                  <c:v>213.267</c:v>
                </c:pt>
                <c:pt idx="2">
                  <c:v>179.272</c:v>
                </c:pt>
                <c:pt idx="3">
                  <c:v>276.945</c:v>
                </c:pt>
                <c:pt idx="4">
                  <c:v>232.019</c:v>
                </c:pt>
                <c:pt idx="5">
                  <c:v>226.003</c:v>
                </c:pt>
              </c:numCache>
            </c:numRef>
          </c:val>
        </c:ser>
        <c:ser>
          <c:idx val="5"/>
          <c:order val="5"/>
          <c:tx>
            <c:strRef>
              <c:f>'T.AJUNTAMENT'!$A$197</c:f>
              <c:strCache>
                <c:ptCount val="1"/>
                <c:pt idx="0">
                  <c:v>Altres</c:v>
                </c:pt>
              </c:strCache>
            </c:strRef>
          </c:tx>
          <c:spPr>
            <a:solidFill>
              <a:srgbClr val="f79646"/>
            </a:solidFill>
            <a:ln>
              <a:noFill/>
            </a:ln>
          </c:spPr>
          <c:invertIfNegative val="0"/>
          <c:dLbls>
            <c:showLegendKey val="0"/>
            <c:showVal val="0"/>
            <c:showCatName val="0"/>
            <c:showSerName val="0"/>
            <c:showPercent val="0"/>
            <c:showLeaderLines val="0"/>
          </c:dLbls>
          <c:cat>
            <c:strRef>
              <c:f>'T.AJUNTAMENT'!$B$191:$G$191</c:f>
              <c:strCache>
                <c:ptCount val="6"/>
                <c:pt idx="0">
                  <c:v>2005</c:v>
                </c:pt>
                <c:pt idx="1">
                  <c:v>2006</c:v>
                </c:pt>
                <c:pt idx="2">
                  <c:v>2007</c:v>
                </c:pt>
                <c:pt idx="3">
                  <c:v>2008</c:v>
                </c:pt>
                <c:pt idx="4">
                  <c:v>2009</c:v>
                </c:pt>
                <c:pt idx="5">
                  <c:v>2010</c:v>
                </c:pt>
              </c:strCache>
            </c:strRef>
          </c:cat>
          <c:val>
            <c:numRef>
              <c:f>'T.AJUNTAMENT'!$B$197:$G$197</c:f>
              <c:numCache>
                <c:formatCode>General</c:formatCode>
                <c:ptCount val="6"/>
                <c:pt idx="0">
                  <c:v>124.255</c:v>
                </c:pt>
                <c:pt idx="1">
                  <c:v>97.546</c:v>
                </c:pt>
                <c:pt idx="2">
                  <c:v>140.932</c:v>
                </c:pt>
                <c:pt idx="3">
                  <c:v>97.817</c:v>
                </c:pt>
                <c:pt idx="4">
                  <c:v>115.515</c:v>
                </c:pt>
                <c:pt idx="5">
                  <c:v>100.491</c:v>
                </c:pt>
              </c:numCache>
            </c:numRef>
          </c:val>
        </c:ser>
        <c:gapWidth val="150"/>
        <c:overlap val="100"/>
        <c:axId val="913559"/>
        <c:axId val="51583551"/>
      </c:barChart>
      <c:catAx>
        <c:axId val="913559"/>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1583551"/>
        <c:crosses val="autoZero"/>
        <c:auto val="1"/>
        <c:lblAlgn val="ctr"/>
        <c:lblOffset val="100"/>
      </c:catAx>
      <c:valAx>
        <c:axId val="51583551"/>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equipaments municipals</a:t>
                </a:r>
              </a:p>
            </c:rich>
          </c:tx>
          <c:overlay val="0"/>
        </c:title>
        <c:numFmt formatCode="#,##0.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13559"/>
        <c:crosses val="autoZero"/>
        <c:crossBetween val="midCat"/>
      </c:valAx>
      <c:spPr>
        <a:solidFill>
          <a:srgbClr val="ffffff"/>
        </a:solidFill>
        <a:ln>
          <a:noFill/>
        </a:ln>
      </c:spPr>
    </c:plotArea>
    <c:legend>
      <c:layout>
        <c:manualLayout>
          <c:xMode val="edge"/>
          <c:yMode val="edge"/>
          <c:x val="0.78405017921147"/>
          <c:y val="0.240980790254568"/>
        </c:manualLayout>
      </c:layout>
      <c:spPr>
        <a:noFill/>
        <a:ln>
          <a:noFill/>
        </a:ln>
      </c:spPr>
    </c:legend>
    <c:plotVisOnly val="1"/>
    <c:dispBlanksAs val="gap"/>
  </c:chart>
  <c:spPr>
    <a:solidFill>
      <a:srgbClr val="ffffff"/>
    </a:solidFill>
    <a:ln>
      <a:noFill/>
    </a:ln>
  </c:spPr>
</c:chartSpace>
</file>

<file path=xl/charts/chart14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1023622047244"/>
          <c:w val="0.643124796350603"/>
          <c:h val="0.758267716535433"/>
        </c:manualLayout>
      </c:layout>
      <c:barChart>
        <c:barDir val="col"/>
        <c:grouping val="stacked"/>
        <c:varyColors val="0"/>
        <c:ser>
          <c:idx val="0"/>
          <c:order val="0"/>
          <c:tx>
            <c:strRef>
              <c:f>'T.AJUNTAMENT'!$A$205</c:f>
              <c:strCache>
                <c:ptCount val="1"/>
                <c:pt idx="0">
                  <c:v>Administratiu</c:v>
                </c:pt>
              </c:strCache>
            </c:strRef>
          </c:tx>
          <c:spPr>
            <a:solidFill>
              <a:srgbClr val="4f81bd"/>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'T.AJUNTAMENT'!$B$205:$G$205</c:f>
              <c:numCache>
                <c:formatCode>General</c:formatCode>
                <c:ptCount val="6"/>
                <c:pt idx="0">
                  <c:v>228.9296904</c:v>
                </c:pt>
                <c:pt idx="1">
                  <c:v>303.0704004</c:v>
                </c:pt>
                <c:pt idx="2">
                  <c:v>306.6898821</c:v>
                </c:pt>
                <c:pt idx="3">
                  <c:v>281.3985504</c:v>
                </c:pt>
                <c:pt idx="4">
                  <c:v>290.3165034</c:v>
                </c:pt>
                <c:pt idx="5">
                  <c:v>245.7098358</c:v>
                </c:pt>
              </c:numCache>
            </c:numRef>
          </c:val>
        </c:ser>
        <c:ser>
          <c:idx val="1"/>
          <c:order val="1"/>
          <c:tx>
            <c:strRef>
              <c:f>'T.AJUNTAMENT'!$A$206</c:f>
              <c:strCache>
                <c:ptCount val="1"/>
                <c:pt idx="0">
                  <c:v>Educatiu</c:v>
                </c:pt>
              </c:strCache>
            </c:strRef>
          </c:tx>
          <c:spPr>
            <a:solidFill>
              <a:srgbClr val="c0504d"/>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'T.AJUNTAMENT'!$B$206:$G$206</c:f>
              <c:numCache>
                <c:formatCode>General</c:formatCode>
                <c:ptCount val="6"/>
                <c:pt idx="0">
                  <c:v>232.500652</c:v>
                </c:pt>
                <c:pt idx="1">
                  <c:v>246.458004</c:v>
                </c:pt>
                <c:pt idx="2">
                  <c:v>199.2776856</c:v>
                </c:pt>
                <c:pt idx="3">
                  <c:v>213.702984</c:v>
                </c:pt>
                <c:pt idx="4">
                  <c:v>253.4004066</c:v>
                </c:pt>
                <c:pt idx="5">
                  <c:v>237.434076</c:v>
                </c:pt>
              </c:numCache>
            </c:numRef>
          </c:val>
        </c:ser>
        <c:ser>
          <c:idx val="2"/>
          <c:order val="2"/>
          <c:tx>
            <c:strRef>
              <c:f>'T.AJUNTAMENT'!$A$207</c:f>
              <c:strCache>
                <c:ptCount val="1"/>
                <c:pt idx="0">
                  <c:v>Esportiu amb piscina</c:v>
                </c:pt>
              </c:strCache>
            </c:strRef>
          </c:tx>
          <c:spPr>
            <a:solidFill>
              <a:srgbClr val="9bbb59"/>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'T.AJUNTAMENT'!$B$207:$G$207</c:f>
              <c:numCache>
                <c:formatCode>General</c:formatCode>
                <c:ptCount val="6"/>
                <c:pt idx="0">
                  <c:v>586.351223693023</c:v>
                </c:pt>
                <c:pt idx="1">
                  <c:v>571.363629693023</c:v>
                </c:pt>
                <c:pt idx="2">
                  <c:v>544.828756293023</c:v>
                </c:pt>
                <c:pt idx="3">
                  <c:v>527.132836893023</c:v>
                </c:pt>
                <c:pt idx="4">
                  <c:v>487.684613793023</c:v>
                </c:pt>
                <c:pt idx="5">
                  <c:v>511.736729793023</c:v>
                </c:pt>
              </c:numCache>
            </c:numRef>
          </c:val>
        </c:ser>
        <c:ser>
          <c:idx val="3"/>
          <c:order val="3"/>
          <c:tx>
            <c:strRef>
              <c:f>'T.AJUNTAMENT'!$A$208</c:f>
              <c:strCache>
                <c:ptCount val="1"/>
                <c:pt idx="0">
                  <c:v>Esportiu sense piscina</c:v>
                </c:pt>
              </c:strCache>
            </c:strRef>
          </c:tx>
          <c:spPr>
            <a:solidFill>
              <a:srgbClr val="8064a2"/>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'T.AJUNTAMENT'!$B$208:$G$208</c:f>
              <c:numCache>
                <c:formatCode>General</c:formatCode>
                <c:ptCount val="6"/>
                <c:pt idx="0">
                  <c:v>144.606923125581</c:v>
                </c:pt>
                <c:pt idx="1">
                  <c:v>122.494643925581</c:v>
                </c:pt>
                <c:pt idx="2">
                  <c:v>127.321047525581</c:v>
                </c:pt>
                <c:pt idx="3">
                  <c:v>109.994565525581</c:v>
                </c:pt>
                <c:pt idx="4">
                  <c:v>100.762185225581</c:v>
                </c:pt>
                <c:pt idx="5">
                  <c:v>96.9855959255814</c:v>
                </c:pt>
              </c:numCache>
            </c:numRef>
          </c:val>
        </c:ser>
        <c:ser>
          <c:idx val="4"/>
          <c:order val="4"/>
          <c:tx>
            <c:strRef>
              <c:f>'T.AJUNTAMENT'!$A$209</c:f>
              <c:strCache>
                <c:ptCount val="1"/>
                <c:pt idx="0">
                  <c:v>Sociocultural</c:v>
                </c:pt>
              </c:strCache>
            </c:strRef>
          </c:tx>
          <c:spPr>
            <a:solidFill>
              <a:srgbClr val="4bacc6"/>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'T.AJUNTAMENT'!$B$209:$G$209</c:f>
              <c:numCache>
                <c:formatCode>General</c:formatCode>
                <c:ptCount val="6"/>
                <c:pt idx="0">
                  <c:v>231.483873</c:v>
                </c:pt>
                <c:pt idx="1">
                  <c:v>193.7317428</c:v>
                </c:pt>
                <c:pt idx="2">
                  <c:v>147.2002392</c:v>
                </c:pt>
                <c:pt idx="3">
                  <c:v>229.088904</c:v>
                </c:pt>
                <c:pt idx="4">
                  <c:v>196.7753139</c:v>
                </c:pt>
                <c:pt idx="5">
                  <c:v>191.6731443</c:v>
                </c:pt>
              </c:numCache>
            </c:numRef>
          </c:val>
        </c:ser>
        <c:ser>
          <c:idx val="5"/>
          <c:order val="5"/>
          <c:tx>
            <c:strRef>
              <c:f>'T.AJUNTAMENT'!$A$210</c:f>
              <c:strCache>
                <c:ptCount val="1"/>
                <c:pt idx="0">
                  <c:v>Altres</c:v>
                </c:pt>
              </c:strCache>
            </c:strRef>
          </c:tx>
          <c:spPr>
            <a:solidFill>
              <a:srgbClr val="f79646"/>
            </a:solidFill>
            <a:ln>
              <a:noFill/>
            </a:ln>
          </c:spPr>
          <c:invertIfNegative val="0"/>
          <c:dLbls>
            <c:showLegendKey val="0"/>
            <c:showVal val="0"/>
            <c:showCatName val="0"/>
            <c:showSerName val="0"/>
            <c:showPercent val="0"/>
            <c:showLeaderLines val="0"/>
          </c:dLbls>
          <c:cat>
            <c:strRef>
              <c:f>'T.AJUNTAMENT'!$B$204:$G$204</c:f>
              <c:strCache>
                <c:ptCount val="6"/>
                <c:pt idx="0">
                  <c:v>2005</c:v>
                </c:pt>
                <c:pt idx="1">
                  <c:v>2006</c:v>
                </c:pt>
                <c:pt idx="2">
                  <c:v>2007</c:v>
                </c:pt>
                <c:pt idx="3">
                  <c:v>2008</c:v>
                </c:pt>
                <c:pt idx="4">
                  <c:v>2009</c:v>
                </c:pt>
                <c:pt idx="5">
                  <c:v>2010</c:v>
                </c:pt>
              </c:strCache>
            </c:strRef>
          </c:cat>
          <c:val>
            <c:numRef>
              <c:f>'T.AJUNTAMENT'!$B$210:$G$210</c:f>
              <c:numCache>
                <c:formatCode>General</c:formatCode>
                <c:ptCount val="6"/>
                <c:pt idx="0">
                  <c:v>104.846369</c:v>
                </c:pt>
                <c:pt idx="1">
                  <c:v>88.6107864</c:v>
                </c:pt>
                <c:pt idx="2">
                  <c:v>115.7192652</c:v>
                </c:pt>
                <c:pt idx="3">
                  <c:v>80.9142224</c:v>
                </c:pt>
                <c:pt idx="4">
                  <c:v>97.9682715</c:v>
                </c:pt>
                <c:pt idx="5">
                  <c:v>85.2264171</c:v>
                </c:pt>
              </c:numCache>
            </c:numRef>
          </c:val>
        </c:ser>
        <c:gapWidth val="150"/>
        <c:overlap val="100"/>
        <c:axId val="19539659"/>
        <c:axId val="74787640"/>
      </c:barChart>
      <c:catAx>
        <c:axId val="19539659"/>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4787640"/>
        <c:crosses val="autoZero"/>
        <c:auto val="1"/>
        <c:lblAlgn val="ctr"/>
        <c:lblOffset val="100"/>
      </c:catAx>
      <c:valAx>
        <c:axId val="74787640"/>
        <c:scaling>
          <c:orientation val="minMax"/>
        </c:scaling>
        <c:delete val="0"/>
        <c:axPos val="l"/>
        <c:majorGridlines>
          <c:spPr>
            <a:ln w="9360">
              <a:solidFill>
                <a:srgbClr val="878787"/>
              </a:solidFill>
              <a:round/>
            </a:ln>
          </c:spPr>
        </c:majorGridlines>
        <c:title>
          <c:tx>
            <c:rich>
              <a:bodyPr rot="-5400000"/>
              <a:lstStyle/>
              <a:p>
                <a:pPr>
                  <a:defRPr b="1" sz="800" spc="-1" strike="noStrike">
                    <a:solidFill>
                      <a:srgbClr val="000000"/>
                    </a:solidFill>
                    <a:uFill>
                      <a:solidFill>
                        <a:srgbClr val="ffffff"/>
                      </a:solidFill>
                    </a:uFill>
                    <a:latin typeface="Calibri"/>
                  </a:defRPr>
                </a:pPr>
                <a:r>
                  <a:rPr b="1" sz="800" spc="-1" strike="noStrike">
                    <a:solidFill>
                      <a:srgbClr val="000000"/>
                    </a:solidFill>
                    <a:uFill>
                      <a:solidFill>
                        <a:srgbClr val="ffffff"/>
                      </a:solidFill>
                    </a:uFill>
                    <a:latin typeface="Calibri"/>
                  </a:rPr>
                  <a:t>t CO2  equipaments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9539659"/>
        <c:crosses val="autoZero"/>
        <c:crossBetween val="midCat"/>
      </c:valAx>
      <c:spPr>
        <a:solidFill>
          <a:srgbClr val="ffffff"/>
        </a:solidFill>
        <a:ln>
          <a:noFill/>
        </a:ln>
      </c:spPr>
    </c:plotArea>
    <c:legend>
      <c:layout>
        <c:manualLayout>
          <c:xMode val="edge"/>
          <c:yMode val="edge"/>
          <c:x val="0.793010752688172"/>
          <c:y val="0.0571653543307087"/>
        </c:manualLayout>
      </c:layout>
      <c:spPr>
        <a:noFill/>
        <a:ln>
          <a:noFill/>
        </a:ln>
      </c:spPr>
    </c:legend>
    <c:plotVisOnly val="1"/>
    <c:dispBlanksAs val="gap"/>
  </c:chart>
  <c:spPr>
    <a:solidFill>
      <a:srgbClr val="ffffff"/>
    </a:solidFill>
    <a:ln>
      <a:noFill/>
    </a:ln>
  </c:spPr>
</c:chartSpace>
</file>

<file path=xl/charts/chart14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38726790450928"/>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'T.AJUNTAMENT'!$A$192:$A$197</c:f>
              <c:strCache>
                <c:ptCount val="6"/>
                <c:pt idx="0">
                  <c:v>Administratiu</c:v>
                </c:pt>
                <c:pt idx="1">
                  <c:v>Educatiu</c:v>
                </c:pt>
                <c:pt idx="2">
                  <c:v>Esportiu amb piscina</c:v>
                </c:pt>
                <c:pt idx="3">
                  <c:v>Esportiu sense piscina</c:v>
                </c:pt>
                <c:pt idx="4">
                  <c:v>Sociocultural</c:v>
                </c:pt>
                <c:pt idx="5">
                  <c:v>Altres</c:v>
                </c:pt>
              </c:strCache>
            </c:strRef>
          </c:cat>
          <c:val>
            <c:numRef>
              <c:f>'T.AJUNTAMENT'!$B$192:$B$197</c:f>
              <c:numCache>
                <c:formatCode>General</c:formatCode>
                <c:ptCount val="6"/>
                <c:pt idx="0">
                  <c:v>271.308</c:v>
                </c:pt>
                <c:pt idx="1">
                  <c:v>275.54</c:v>
                </c:pt>
                <c:pt idx="2">
                  <c:v>1206.25887441861</c:v>
                </c:pt>
                <c:pt idx="3">
                  <c:v>256.857860465116</c:v>
                </c:pt>
                <c:pt idx="4">
                  <c:v>274.335</c:v>
                </c:pt>
                <c:pt idx="5">
                  <c:v>124.255</c:v>
                </c:pt>
              </c:numCache>
            </c:numRef>
          </c:val>
        </c:ser>
      </c:pie3DChart>
      <c:spPr>
        <a:solidFill>
          <a:srgbClr val="d9d9d9"/>
        </a:solidFill>
        <a:ln>
          <a:noFill/>
        </a:ln>
      </c:spPr>
    </c:plotArea>
    <c:legend>
      <c:layout>
        <c:manualLayout>
          <c:xMode val="edge"/>
          <c:yMode val="edge"/>
          <c:x val="0.651727861771058"/>
          <c:y val="0.0515030946065429"/>
        </c:manualLayout>
      </c:layout>
      <c:spPr>
        <a:noFill/>
        <a:ln>
          <a:noFill/>
        </a:ln>
      </c:spPr>
    </c:legend>
    <c:plotVisOnly val="1"/>
    <c:dispBlanksAs val="zero"/>
  </c:chart>
  <c:spPr>
    <a:solidFill>
      <a:srgbClr val="ffffff"/>
    </a:solidFill>
    <a:ln>
      <a:noFill/>
    </a:ln>
  </c:spPr>
</c:chartSpace>
</file>

<file path=xl/charts/chart14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720" spc="-1" strike="noStrike">
                <a:solidFill>
                  <a:srgbClr val="000000"/>
                </a:solidFill>
                <a:uFill>
                  <a:solidFill>
                    <a:srgbClr val="ffffff"/>
                  </a:solidFill>
                </a:uFill>
                <a:latin typeface="Calibri"/>
              </a:defRPr>
            </a:pPr>
            <a:r>
              <a:rPr b="1" sz="720" spc="-1" strike="noStrike">
                <a:solidFill>
                  <a:srgbClr val="000000"/>
                </a:solidFill>
                <a:uFill>
                  <a:solidFill>
                    <a:srgbClr val="ffffff"/>
                  </a:solidFill>
                </a:uFill>
                <a:latin typeface="Calibri"/>
              </a:rPr>
              <a:t>Any 2009</a:t>
            </a:r>
          </a:p>
        </c:rich>
      </c:tx>
      <c:layout>
        <c:manualLayout>
          <c:xMode val="edge"/>
          <c:yMode val="edge"/>
          <c:x val="0.389983801295896"/>
          <c:y val="0.023651635720601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00431965442765"/>
          <c:y val="0.289345711759505"/>
          <c:w val="0.539416846652268"/>
          <c:h val="0.561892130857648"/>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'T.AJUNTAMENT'!$A$192:$A$197</c:f>
              <c:strCache>
                <c:ptCount val="6"/>
                <c:pt idx="0">
                  <c:v>Administratiu</c:v>
                </c:pt>
                <c:pt idx="1">
                  <c:v>Educatiu</c:v>
                </c:pt>
                <c:pt idx="2">
                  <c:v>Esportiu amb piscina</c:v>
                </c:pt>
                <c:pt idx="3">
                  <c:v>Esportiu sense piscina</c:v>
                </c:pt>
                <c:pt idx="4">
                  <c:v>Sociocultural</c:v>
                </c:pt>
                <c:pt idx="5">
                  <c:v>Altres</c:v>
                </c:pt>
              </c:strCache>
            </c:strRef>
          </c:cat>
          <c:val>
            <c:numRef>
              <c:f>'T.AJUNTAMENT'!$F$192:$F$197</c:f>
              <c:numCache>
                <c:formatCode>General</c:formatCode>
                <c:ptCount val="6"/>
                <c:pt idx="0">
                  <c:v>342.314</c:v>
                </c:pt>
                <c:pt idx="1">
                  <c:v>298.786</c:v>
                </c:pt>
                <c:pt idx="2">
                  <c:v>1087.5778744186</c:v>
                </c:pt>
                <c:pt idx="3">
                  <c:v>204.450860465116</c:v>
                </c:pt>
                <c:pt idx="4">
                  <c:v>232.019</c:v>
                </c:pt>
                <c:pt idx="5">
                  <c:v>115.515</c:v>
                </c:pt>
              </c:numCache>
            </c:numRef>
          </c:val>
        </c:ser>
      </c:pie3DChart>
      <c:spPr>
        <a:solidFill>
          <a:srgbClr val="d9d9d9"/>
        </a:solidFill>
        <a:ln>
          <a:noFill/>
        </a:ln>
      </c:spPr>
    </c:plotArea>
    <c:legend>
      <c:layout>
        <c:manualLayout>
          <c:xMode val="edge"/>
          <c:yMode val="edge"/>
          <c:x val="0.646733261339093"/>
          <c:y val="0.0515030946065429"/>
        </c:manualLayout>
      </c:layout>
      <c:spPr>
        <a:noFill/>
        <a:ln>
          <a:noFill/>
        </a:ln>
      </c:spPr>
    </c:legend>
    <c:plotVisOnly val="1"/>
    <c:dispBlanksAs val="zero"/>
  </c:chart>
  <c:spPr>
    <a:solidFill>
      <a:srgbClr val="ffffff"/>
    </a:solidFill>
    <a:ln>
      <a:noFill/>
    </a:ln>
  </c:spPr>
</c:chartSpace>
</file>

<file path=xl/charts/chart14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'T.AJUNTAMENT'!$A$205:$A$210</c:f>
              <c:strCache>
                <c:ptCount val="6"/>
                <c:pt idx="0">
                  <c:v>Administratiu</c:v>
                </c:pt>
                <c:pt idx="1">
                  <c:v>Educatiu</c:v>
                </c:pt>
                <c:pt idx="2">
                  <c:v>Esportiu amb piscina</c:v>
                </c:pt>
                <c:pt idx="3">
                  <c:v>Esportiu sense piscina</c:v>
                </c:pt>
                <c:pt idx="4">
                  <c:v>Sociocultural</c:v>
                </c:pt>
                <c:pt idx="5">
                  <c:v>Altres</c:v>
                </c:pt>
              </c:strCache>
            </c:strRef>
          </c:cat>
          <c:val>
            <c:numRef>
              <c:f>'T.AJUNTAMENT'!$B$205:$B$210</c:f>
              <c:numCache>
                <c:formatCode>General</c:formatCode>
                <c:ptCount val="6"/>
                <c:pt idx="0">
                  <c:v>228.9296904</c:v>
                </c:pt>
                <c:pt idx="1">
                  <c:v>232.500652</c:v>
                </c:pt>
                <c:pt idx="2">
                  <c:v>586.351223693023</c:v>
                </c:pt>
                <c:pt idx="3">
                  <c:v>144.606923125581</c:v>
                </c:pt>
                <c:pt idx="4">
                  <c:v>231.483873</c:v>
                </c:pt>
                <c:pt idx="5">
                  <c:v>104.846369</c:v>
                </c:pt>
              </c:numCache>
            </c:numRef>
          </c:val>
        </c:ser>
      </c:pie3DChart>
      <c:spPr>
        <a:solidFill>
          <a:srgbClr val="d9d9d9"/>
        </a:solidFill>
        <a:ln>
          <a:noFill/>
        </a:ln>
      </c:spPr>
    </c:plotArea>
    <c:legend>
      <c:layout>
        <c:manualLayout>
          <c:xMode val="edge"/>
          <c:yMode val="edge"/>
          <c:x val="0.687634989200864"/>
          <c:y val="0.0145381346454932"/>
        </c:manualLayout>
      </c:layout>
      <c:spPr>
        <a:noFill/>
        <a:ln>
          <a:noFill/>
        </a:ln>
      </c:spPr>
    </c:legend>
    <c:plotVisOnly val="1"/>
    <c:dispBlanksAs val="zero"/>
  </c:chart>
  <c:spPr>
    <a:solidFill>
      <a:srgbClr val="ffffff"/>
    </a:solidFill>
    <a:ln>
      <a:noFill/>
    </a:ln>
  </c:spPr>
</c:chartSpace>
</file>

<file path=xl/charts/chart14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53779697624"/>
          <c:y val="0.0241556698725117"/>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'T.AJUNTAMENT'!$A$205:$A$210</c:f>
              <c:strCache>
                <c:ptCount val="6"/>
                <c:pt idx="0">
                  <c:v>Administratiu</c:v>
                </c:pt>
                <c:pt idx="1">
                  <c:v>Educatiu</c:v>
                </c:pt>
                <c:pt idx="2">
                  <c:v>Esportiu amb piscina</c:v>
                </c:pt>
                <c:pt idx="3">
                  <c:v>Esportiu sense piscina</c:v>
                </c:pt>
                <c:pt idx="4">
                  <c:v>Sociocultural</c:v>
                </c:pt>
                <c:pt idx="5">
                  <c:v>Altres</c:v>
                </c:pt>
              </c:strCache>
            </c:strRef>
          </c:cat>
          <c:val>
            <c:numRef>
              <c:f>'T.AJUNTAMENT'!$F$205:$F$210</c:f>
              <c:numCache>
                <c:formatCode>General</c:formatCode>
                <c:ptCount val="6"/>
                <c:pt idx="0">
                  <c:v>290.3165034</c:v>
                </c:pt>
                <c:pt idx="1">
                  <c:v>253.4004066</c:v>
                </c:pt>
                <c:pt idx="2">
                  <c:v>487.684613793023</c:v>
                </c:pt>
                <c:pt idx="3">
                  <c:v>100.762185225581</c:v>
                </c:pt>
                <c:pt idx="4">
                  <c:v>196.7753139</c:v>
                </c:pt>
                <c:pt idx="5">
                  <c:v>97.9682715</c:v>
                </c:pt>
              </c:numCache>
            </c:numRef>
          </c:val>
        </c:ser>
      </c:pie3DChart>
      <c:spPr>
        <a:solidFill>
          <a:srgbClr val="d9d9d9"/>
        </a:solidFill>
        <a:ln>
          <a:noFill/>
        </a:ln>
      </c:spPr>
    </c:plotArea>
    <c:legend>
      <c:layout>
        <c:manualLayout>
          <c:xMode val="edge"/>
          <c:yMode val="edge"/>
          <c:x val="0.696004319654428"/>
          <c:y val="0.0192350704540371"/>
        </c:manualLayout>
      </c:layout>
      <c:spPr>
        <a:noFill/>
        <a:ln>
          <a:noFill/>
        </a:ln>
      </c:spPr>
    </c:legend>
    <c:plotVisOnly val="1"/>
    <c:dispBlanksAs val="zero"/>
  </c:chart>
  <c:spPr>
    <a:solidFill>
      <a:srgbClr val="ffffff"/>
    </a:solidFill>
    <a:ln>
      <a:noFill/>
    </a:ln>
  </c:spPr>
</c:chartSpace>
</file>

<file path=xl/charts/chart149.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1960018741215"/>
          <c:y val="0.0611187319006249"/>
          <c:w val="0.662345775417773"/>
          <c:h val="0.758268556622466"/>
        </c:manualLayout>
      </c:layout>
      <c:barChart>
        <c:barDir val="col"/>
        <c:grouping val="stacked"/>
        <c:varyColors val="0"/>
        <c:ser>
          <c:idx val="0"/>
          <c:order val="0"/>
          <c:tx>
            <c:strRef>
              <c:f>'T.AJUNTAMENT'!$A$114</c:f>
              <c:strCache>
                <c:ptCount val="1"/>
                <c:pt idx="0">
                  <c:v>Peatons</c:v>
                </c:pt>
              </c:strCache>
            </c:strRef>
          </c:tx>
          <c:spPr>
            <a:solidFill>
              <a:srgbClr val="93a9ce"/>
            </a:solidFill>
            <a:ln>
              <a:noFill/>
            </a:ln>
          </c:spPr>
          <c:invertIfNegative val="0"/>
          <c:dLbls>
            <c:showLegendKey val="0"/>
            <c:showVal val="0"/>
            <c:showCatName val="0"/>
            <c:showSerName val="0"/>
            <c:showPercent val="0"/>
            <c:showLeaderLines val="0"/>
          </c:dLbls>
          <c:cat>
            <c:strRef>
              <c:f>'T.AJUNTAMENT'!$B$113:$G$113</c:f>
              <c:strCache>
                <c:ptCount val="6"/>
                <c:pt idx="0">
                  <c:v>2005</c:v>
                </c:pt>
                <c:pt idx="1">
                  <c:v>2006</c:v>
                </c:pt>
                <c:pt idx="2">
                  <c:v>2007</c:v>
                </c:pt>
                <c:pt idx="3">
                  <c:v>2008</c:v>
                </c:pt>
                <c:pt idx="4">
                  <c:v>2009</c:v>
                </c:pt>
                <c:pt idx="5">
                  <c:v>2010</c:v>
                </c:pt>
              </c:strCache>
            </c:strRef>
          </c:cat>
          <c:val>
            <c:numRef>
              <c:f>'T.AJUNTAMENT'!$B$114:$G$114</c:f>
              <c:numCache>
                <c:formatCode>General</c:formatCode>
                <c:ptCount val="6"/>
                <c:pt idx="0">
                  <c:v>3.504</c:v>
                </c:pt>
                <c:pt idx="1">
                  <c:v>3.504</c:v>
                </c:pt>
                <c:pt idx="2">
                  <c:v>3.504</c:v>
                </c:pt>
                <c:pt idx="3">
                  <c:v>3.504</c:v>
                </c:pt>
                <c:pt idx="4">
                  <c:v>3.504</c:v>
                </c:pt>
                <c:pt idx="5">
                  <c:v>3.504</c:v>
                </c:pt>
              </c:numCache>
            </c:numRef>
          </c:val>
        </c:ser>
        <c:ser>
          <c:idx val="1"/>
          <c:order val="1"/>
          <c:tx>
            <c:strRef>
              <c:f>'T.AJUNTAMENT'!$A$115</c:f>
              <c:strCache>
                <c:ptCount val="1"/>
                <c:pt idx="0">
                  <c:v>Vehicles</c:v>
                </c:pt>
              </c:strCache>
            </c:strRef>
          </c:tx>
          <c:spPr>
            <a:solidFill>
              <a:srgbClr val="dc853e"/>
            </a:solidFill>
            <a:ln>
              <a:noFill/>
            </a:ln>
          </c:spPr>
          <c:invertIfNegative val="0"/>
          <c:dLbls>
            <c:showLegendKey val="0"/>
            <c:showVal val="0"/>
            <c:showCatName val="0"/>
            <c:showSerName val="0"/>
            <c:showPercent val="0"/>
            <c:showLeaderLines val="0"/>
          </c:dLbls>
          <c:cat>
            <c:strRef>
              <c:f>'T.AJUNTAMENT'!$B$113:$G$113</c:f>
              <c:strCache>
                <c:ptCount val="6"/>
                <c:pt idx="0">
                  <c:v>2005</c:v>
                </c:pt>
                <c:pt idx="1">
                  <c:v>2006</c:v>
                </c:pt>
                <c:pt idx="2">
                  <c:v>2007</c:v>
                </c:pt>
                <c:pt idx="3">
                  <c:v>2008</c:v>
                </c:pt>
                <c:pt idx="4">
                  <c:v>2009</c:v>
                </c:pt>
                <c:pt idx="5">
                  <c:v>2010</c:v>
                </c:pt>
              </c:strCache>
            </c:strRef>
          </c:cat>
          <c:val>
            <c:numRef>
              <c:f>'T.AJUNTAMENT'!$B$115:$G$115</c:f>
              <c:numCache>
                <c:formatCode>General</c:formatCode>
                <c:ptCount val="6"/>
                <c:pt idx="0">
                  <c:v>3.504</c:v>
                </c:pt>
                <c:pt idx="1">
                  <c:v>3.504</c:v>
                </c:pt>
                <c:pt idx="2">
                  <c:v>3.504</c:v>
                </c:pt>
                <c:pt idx="3">
                  <c:v>3.504</c:v>
                </c:pt>
                <c:pt idx="4">
                  <c:v>3.504</c:v>
                </c:pt>
                <c:pt idx="5">
                  <c:v>3.504</c:v>
                </c:pt>
              </c:numCache>
            </c:numRef>
          </c:val>
        </c:ser>
        <c:ser>
          <c:idx val="2"/>
          <c:order val="2"/>
          <c:tx>
            <c:strRef>
              <c:f>'T.AJUNTAMENT'!$A$116</c:f>
              <c:strCache>
                <c:ptCount val="1"/>
                <c:pt idx="0">
                  <c:v>Senyalització</c:v>
                </c:pt>
              </c:strCache>
            </c:strRef>
          </c:tx>
          <c:spPr>
            <a:solidFill>
              <a:srgbClr val="4299b0"/>
            </a:solidFill>
            <a:ln>
              <a:noFill/>
            </a:ln>
          </c:spPr>
          <c:invertIfNegative val="0"/>
          <c:dLbls>
            <c:showLegendKey val="0"/>
            <c:showVal val="0"/>
            <c:showCatName val="0"/>
            <c:showSerName val="0"/>
            <c:showPercent val="0"/>
            <c:showLeaderLines val="0"/>
          </c:dLbls>
          <c:cat>
            <c:strRef>
              <c:f>'T.AJUNTAMENT'!$B$113:$G$113</c:f>
              <c:strCache>
                <c:ptCount val="6"/>
                <c:pt idx="0">
                  <c:v>2005</c:v>
                </c:pt>
                <c:pt idx="1">
                  <c:v>2006</c:v>
                </c:pt>
                <c:pt idx="2">
                  <c:v>2007</c:v>
                </c:pt>
                <c:pt idx="3">
                  <c:v>2008</c:v>
                </c:pt>
                <c:pt idx="4">
                  <c:v>2009</c:v>
                </c:pt>
                <c:pt idx="5">
                  <c:v>2010</c:v>
                </c:pt>
              </c:strCache>
            </c:strRef>
          </c:cat>
          <c:val>
            <c:numRef>
              <c:f>'T.AJUNTAMENT'!$B$116:$G$116</c:f>
              <c:numCache>
                <c:formatCode>General</c:formatCode>
                <c:ptCount val="6"/>
                <c:pt idx="0">
                  <c:v>0</c:v>
                </c:pt>
                <c:pt idx="1">
                  <c:v>0</c:v>
                </c:pt>
                <c:pt idx="2">
                  <c:v>0</c:v>
                </c:pt>
                <c:pt idx="3">
                  <c:v>0</c:v>
                </c:pt>
                <c:pt idx="4">
                  <c:v>0</c:v>
                </c:pt>
                <c:pt idx="5">
                  <c:v>0</c:v>
                </c:pt>
              </c:numCache>
            </c:numRef>
          </c:val>
        </c:ser>
        <c:gapWidth val="150"/>
        <c:overlap val="100"/>
        <c:axId val="80656177"/>
        <c:axId val="18740921"/>
      </c:barChart>
      <c:catAx>
        <c:axId val="80656177"/>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8740921"/>
        <c:crosses val="autoZero"/>
        <c:auto val="1"/>
        <c:lblAlgn val="ctr"/>
        <c:lblOffset val="100"/>
      </c:catAx>
      <c:valAx>
        <c:axId val="18740921"/>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semàfors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0656177"/>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672a8"/>
              </a:solidFill>
              <a:ln>
                <a:noFill/>
              </a:ln>
            </c:spPr>
          </c:dPt>
          <c:dPt>
            <c:idx val="1"/>
            <c:spPr>
              <a:solidFill>
                <a:srgbClr val="ab4744"/>
              </a:solidFill>
              <a:ln>
                <a:noFill/>
              </a:ln>
            </c:spPr>
          </c:dPt>
          <c:dPt>
            <c:idx val="2"/>
            <c:spPr>
              <a:solidFill>
                <a:srgbClr val="8aa64f"/>
              </a:solidFill>
              <a:ln>
                <a:noFill/>
              </a:ln>
            </c:spPr>
          </c:dPt>
          <c:dPt>
            <c:idx val="3"/>
            <c:spPr>
              <a:solidFill>
                <a:srgbClr val="725990"/>
              </a:solidFill>
              <a:ln>
                <a:noFill/>
              </a:ln>
            </c:spPr>
          </c:dPt>
          <c:dPt>
            <c:idx val="4"/>
            <c:spPr>
              <a:solidFill>
                <a:srgbClr val="4299b0"/>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
              <c:idx val="6"/>
              <c:dLblPos val="bestFit"/>
              <c:showLegendKey val="0"/>
              <c:showVal val="0"/>
              <c:showCatName val="0"/>
              <c:showSerName val="0"/>
              <c:showPercent val="1"/>
            </c:dLbl>
            <c:dLbl>
              <c:idx val="7"/>
              <c:dLblPos val="bestFit"/>
              <c:showLegendKey val="0"/>
              <c:showVal val="0"/>
              <c:showCatName val="0"/>
              <c:showSerName val="0"/>
              <c:showPercent val="1"/>
            </c:dLbl>
            <c:dLblPos val="bestFit"/>
            <c:showLegendKey val="0"/>
            <c:showVal val="0"/>
            <c:showCatName val="0"/>
            <c:showSerName val="0"/>
            <c:showPercent val="1"/>
            <c:showLeaderLines val="0"/>
          </c:dLbls>
          <c:cat>
            <c:strRef>
              <c:f>'T. MUNICIPI'!$A$78:$A$85</c:f>
              <c:strCache>
                <c:ptCount val="8"/>
                <c:pt idx="0">
                  <c:v>Primari</c:v>
                </c:pt>
                <c:pt idx="1">
                  <c:v>Industrial</c:v>
                </c:pt>
                <c:pt idx="2">
                  <c:v>Serveis</c:v>
                </c:pt>
                <c:pt idx="3">
                  <c:v>Domèstic</c:v>
                </c:pt>
                <c:pt idx="4">
                  <c:v>Transport</c:v>
                </c:pt>
                <c:pt idx="5">
                  <c:v>Residus</c:v>
                </c:pt>
                <c:pt idx="6">
                  <c:v>Aigua</c:v>
                </c:pt>
                <c:pt idx="7">
                  <c:v>Prod. energia</c:v>
                </c:pt>
              </c:strCache>
            </c:strRef>
          </c:cat>
          <c:val>
            <c:numRef>
              <c:f>'T. MUNICIPI'!$B$78:$B$85</c:f>
              <c:numCache>
                <c:formatCode>General</c:formatCode>
                <c:ptCount val="8"/>
                <c:pt idx="0">
                  <c:v>2522.84740901107</c:v>
                </c:pt>
                <c:pt idx="1">
                  <c:v>6703.94569460785</c:v>
                </c:pt>
                <c:pt idx="2">
                  <c:v>27448.431240471</c:v>
                </c:pt>
                <c:pt idx="3">
                  <c:v>44543.4785467151</c:v>
                </c:pt>
                <c:pt idx="4">
                  <c:v>22624.6883334242</c:v>
                </c:pt>
                <c:pt idx="5">
                  <c:v>8729.33717074606</c:v>
                </c:pt>
                <c:pt idx="6">
                  <c:v>5059.356359382</c:v>
                </c:pt>
                <c:pt idx="7">
                  <c:v>-9.982154</c:v>
                </c:pt>
              </c:numCache>
            </c:numRef>
          </c:val>
        </c:ser>
      </c:pie3DChart>
      <c:spPr>
        <a:solidFill>
          <a:srgbClr val="d9d9d9"/>
        </a:solidFill>
        <a:ln>
          <a:noFill/>
        </a:ln>
      </c:spPr>
    </c:plotArea>
    <c:legend>
      <c:layout>
        <c:manualLayout>
          <c:xMode val="edge"/>
          <c:yMode val="edge"/>
          <c:x val="0.705588552915767"/>
          <c:y val="0.013986013986014"/>
        </c:manualLayout>
      </c:layout>
      <c:spPr>
        <a:noFill/>
        <a:ln>
          <a:noFill/>
        </a:ln>
      </c:spPr>
    </c:legend>
    <c:plotVisOnly val="1"/>
    <c:dispBlanksAs val="zero"/>
  </c:chart>
  <c:spPr>
    <a:solidFill>
      <a:srgbClr val="ffffff"/>
    </a:solidFill>
    <a:ln>
      <a:noFill/>
    </a:ln>
  </c:spPr>
</c:chartSpace>
</file>

<file path=xl/charts/chart150.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4591292941"/>
          <c:y val="0.0610558530986993"/>
          <c:w val="0.646142494055915"/>
          <c:h val="0.758377964804897"/>
        </c:manualLayout>
      </c:layout>
      <c:barChart>
        <c:barDir val="col"/>
        <c:grouping val="stacked"/>
        <c:varyColors val="0"/>
        <c:ser>
          <c:idx val="0"/>
          <c:order val="0"/>
          <c:tx>
            <c:strRef>
              <c:f>'T.AJUNTAMENT'!$A$133</c:f>
              <c:strCache>
                <c:ptCount val="1"/>
                <c:pt idx="0">
                  <c:v>Peatons</c:v>
                </c:pt>
              </c:strCache>
            </c:strRef>
          </c:tx>
          <c:spPr>
            <a:solidFill>
              <a:srgbClr val="4bacc6"/>
            </a:solidFill>
            <a:ln>
              <a:noFill/>
            </a:ln>
          </c:spPr>
          <c:invertIfNegative val="0"/>
          <c:dLbls>
            <c:showLegendKey val="0"/>
            <c:showVal val="0"/>
            <c:showCatName val="0"/>
            <c:showSerName val="0"/>
            <c:showPercent val="0"/>
            <c:showLeaderLines val="0"/>
          </c:dLbls>
          <c:cat>
            <c:strRef>
              <c:f>'T.AJUNTAMENT'!$B$132:$G$132</c:f>
              <c:strCache>
                <c:ptCount val="6"/>
                <c:pt idx="0">
                  <c:v>2005</c:v>
                </c:pt>
                <c:pt idx="1">
                  <c:v>2006</c:v>
                </c:pt>
                <c:pt idx="2">
                  <c:v>2007</c:v>
                </c:pt>
                <c:pt idx="3">
                  <c:v>2008</c:v>
                </c:pt>
                <c:pt idx="4">
                  <c:v>2009</c:v>
                </c:pt>
                <c:pt idx="5">
                  <c:v>2010</c:v>
                </c:pt>
              </c:strCache>
            </c:strRef>
          </c:cat>
          <c:val>
            <c:numRef>
              <c:f>'T.AJUNTAMENT'!$B$133:$G$133</c:f>
              <c:numCache>
                <c:formatCode>General</c:formatCode>
                <c:ptCount val="6"/>
                <c:pt idx="0">
                  <c:v>2.9566752</c:v>
                </c:pt>
                <c:pt idx="1">
                  <c:v>3.1830336</c:v>
                </c:pt>
                <c:pt idx="2">
                  <c:v>2.8771344</c:v>
                </c:pt>
                <c:pt idx="3">
                  <c:v>2.8985088</c:v>
                </c:pt>
                <c:pt idx="4">
                  <c:v>2.9717424</c:v>
                </c:pt>
                <c:pt idx="5">
                  <c:v>2.9717424</c:v>
                </c:pt>
              </c:numCache>
            </c:numRef>
          </c:val>
        </c:ser>
        <c:ser>
          <c:idx val="1"/>
          <c:order val="1"/>
          <c:tx>
            <c:strRef>
              <c:f>'T.AJUNTAMENT'!$A$134</c:f>
              <c:strCache>
                <c:ptCount val="1"/>
                <c:pt idx="0">
                  <c:v>Vehicles</c:v>
                </c:pt>
              </c:strCache>
            </c:strRef>
          </c:tx>
          <c:spPr>
            <a:solidFill>
              <a:srgbClr val="8064a2"/>
            </a:solidFill>
            <a:ln>
              <a:noFill/>
            </a:ln>
          </c:spPr>
          <c:invertIfNegative val="0"/>
          <c:dLbls>
            <c:showLegendKey val="0"/>
            <c:showVal val="0"/>
            <c:showCatName val="0"/>
            <c:showSerName val="0"/>
            <c:showPercent val="0"/>
            <c:showLeaderLines val="0"/>
          </c:dLbls>
          <c:cat>
            <c:strRef>
              <c:f>'T.AJUNTAMENT'!$B$132:$G$132</c:f>
              <c:strCache>
                <c:ptCount val="6"/>
                <c:pt idx="0">
                  <c:v>2005</c:v>
                </c:pt>
                <c:pt idx="1">
                  <c:v>2006</c:v>
                </c:pt>
                <c:pt idx="2">
                  <c:v>2007</c:v>
                </c:pt>
                <c:pt idx="3">
                  <c:v>2008</c:v>
                </c:pt>
                <c:pt idx="4">
                  <c:v>2009</c:v>
                </c:pt>
                <c:pt idx="5">
                  <c:v>2010</c:v>
                </c:pt>
              </c:strCache>
            </c:strRef>
          </c:cat>
          <c:val>
            <c:numRef>
              <c:f>'T.AJUNTAMENT'!$B$134:$G$134</c:f>
              <c:numCache>
                <c:formatCode>General</c:formatCode>
                <c:ptCount val="6"/>
                <c:pt idx="0">
                  <c:v>2.9566752</c:v>
                </c:pt>
                <c:pt idx="1">
                  <c:v>3.1830336</c:v>
                </c:pt>
                <c:pt idx="2">
                  <c:v>2.8771344</c:v>
                </c:pt>
                <c:pt idx="3">
                  <c:v>2.8985088</c:v>
                </c:pt>
                <c:pt idx="4">
                  <c:v>2.9717424</c:v>
                </c:pt>
                <c:pt idx="5">
                  <c:v>2.9717424</c:v>
                </c:pt>
              </c:numCache>
            </c:numRef>
          </c:val>
        </c:ser>
        <c:ser>
          <c:idx val="2"/>
          <c:order val="2"/>
          <c:tx>
            <c:strRef>
              <c:f>'T.AJUNTAMENT'!$A$135</c:f>
              <c:strCache>
                <c:ptCount val="1"/>
                <c:pt idx="0">
                  <c:v>Senyalització</c:v>
                </c:pt>
              </c:strCache>
            </c:strRef>
          </c:tx>
          <c:spPr>
            <a:solidFill>
              <a:srgbClr val="9bbb59"/>
            </a:solidFill>
            <a:ln>
              <a:noFill/>
            </a:ln>
          </c:spPr>
          <c:invertIfNegative val="0"/>
          <c:dLbls>
            <c:showLegendKey val="0"/>
            <c:showVal val="0"/>
            <c:showCatName val="0"/>
            <c:showSerName val="0"/>
            <c:showPercent val="0"/>
            <c:showLeaderLines val="0"/>
          </c:dLbls>
          <c:cat>
            <c:strRef>
              <c:f>'T.AJUNTAMENT'!$B$132:$G$132</c:f>
              <c:strCache>
                <c:ptCount val="6"/>
                <c:pt idx="0">
                  <c:v>2005</c:v>
                </c:pt>
                <c:pt idx="1">
                  <c:v>2006</c:v>
                </c:pt>
                <c:pt idx="2">
                  <c:v>2007</c:v>
                </c:pt>
                <c:pt idx="3">
                  <c:v>2008</c:v>
                </c:pt>
                <c:pt idx="4">
                  <c:v>2009</c:v>
                </c:pt>
                <c:pt idx="5">
                  <c:v>2010</c:v>
                </c:pt>
              </c:strCache>
            </c:strRef>
          </c:cat>
          <c:val>
            <c:numRef>
              <c:f>'T.AJUNTAMENT'!$B$135:$G$135</c:f>
              <c:numCache>
                <c:formatCode>General</c:formatCode>
                <c:ptCount val="6"/>
                <c:pt idx="0">
                  <c:v>0</c:v>
                </c:pt>
                <c:pt idx="1">
                  <c:v>0</c:v>
                </c:pt>
                <c:pt idx="2">
                  <c:v>0</c:v>
                </c:pt>
                <c:pt idx="3">
                  <c:v>0</c:v>
                </c:pt>
                <c:pt idx="4">
                  <c:v>0</c:v>
                </c:pt>
                <c:pt idx="5">
                  <c:v>0</c:v>
                </c:pt>
              </c:numCache>
            </c:numRef>
          </c:val>
        </c:ser>
        <c:gapWidth val="150"/>
        <c:overlap val="100"/>
        <c:axId val="66387095"/>
        <c:axId val="43566512"/>
      </c:barChart>
      <c:catAx>
        <c:axId val="6638709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3566512"/>
        <c:crosses val="autoZero"/>
        <c:auto val="1"/>
        <c:lblAlgn val="ctr"/>
        <c:lblOffset val="100"/>
      </c:catAx>
      <c:valAx>
        <c:axId val="4356651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semàfors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6387095"/>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5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147077992614"/>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'T.AJUNTAMENT'!$B$113</c:f>
              <c:strCache>
                <c:ptCount val="1"/>
                <c:pt idx="0">
                  <c:v>2005</c:v>
                </c:pt>
              </c:strCache>
            </c:strRef>
          </c:tx>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'T.AJUNTAMENT'!$A$114:$A$116</c:f>
              <c:strCache>
                <c:ptCount val="3"/>
                <c:pt idx="0">
                  <c:v>Peatons</c:v>
                </c:pt>
                <c:pt idx="1">
                  <c:v>Vehicles</c:v>
                </c:pt>
                <c:pt idx="2">
                  <c:v>Senyalització</c:v>
                </c:pt>
              </c:strCache>
            </c:strRef>
          </c:cat>
          <c:val>
            <c:numRef>
              <c:f>'T.AJUNTAMENT'!$B$114:$B$116</c:f>
              <c:numCache>
                <c:formatCode>General</c:formatCode>
                <c:ptCount val="3"/>
                <c:pt idx="0">
                  <c:v>3.504</c:v>
                </c:pt>
                <c:pt idx="1">
                  <c:v>3.504</c:v>
                </c:pt>
                <c:pt idx="2">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5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24358974359"/>
          <c:y val="0.0241900647948164"/>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'T.AJUNTAMENT'!$A$114:$A$116</c:f>
              <c:strCache>
                <c:ptCount val="3"/>
                <c:pt idx="0">
                  <c:v>Peatons</c:v>
                </c:pt>
                <c:pt idx="1">
                  <c:v>Vehicles</c:v>
                </c:pt>
                <c:pt idx="2">
                  <c:v>Senyalització</c:v>
                </c:pt>
              </c:strCache>
            </c:strRef>
          </c:cat>
          <c:val>
            <c:numRef>
              <c:f>'T.AJUNTAMENT'!$F$114:$F$116</c:f>
              <c:numCache>
                <c:formatCode>General</c:formatCode>
                <c:ptCount val="3"/>
                <c:pt idx="0">
                  <c:v>3.504</c:v>
                </c:pt>
                <c:pt idx="1">
                  <c:v>3.504</c:v>
                </c:pt>
                <c:pt idx="2">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5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53779697624"/>
          <c:y val="0.0241094700260643"/>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'T.AJUNTAMENT'!$A$133:$A$135</c:f>
              <c:strCache>
                <c:ptCount val="3"/>
                <c:pt idx="0">
                  <c:v>Peatons</c:v>
                </c:pt>
                <c:pt idx="1">
                  <c:v>Vehicles</c:v>
                </c:pt>
                <c:pt idx="2">
                  <c:v>Senyalització</c:v>
                </c:pt>
              </c:strCache>
            </c:strRef>
          </c:cat>
          <c:val>
            <c:numRef>
              <c:f>'T.AJUNTAMENT'!$B$133:$B$135</c:f>
              <c:numCache>
                <c:formatCode>General</c:formatCode>
                <c:ptCount val="3"/>
                <c:pt idx="0">
                  <c:v>2.9566752</c:v>
                </c:pt>
                <c:pt idx="1">
                  <c:v>2.9566752</c:v>
                </c:pt>
                <c:pt idx="2">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5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24358974359"/>
          <c:y val="0.0241848412869791"/>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'T.AJUNTAMENT'!$A$133:$A$135</c:f>
              <c:strCache>
                <c:ptCount val="3"/>
                <c:pt idx="0">
                  <c:v>Peatons</c:v>
                </c:pt>
                <c:pt idx="1">
                  <c:v>Vehicles</c:v>
                </c:pt>
                <c:pt idx="2">
                  <c:v>Senyalització</c:v>
                </c:pt>
              </c:strCache>
            </c:strRef>
          </c:cat>
          <c:val>
            <c:numRef>
              <c:f>'T.AJUNTAMENT'!$F$133:$F$135</c:f>
              <c:numCache>
                <c:formatCode>General</c:formatCode>
                <c:ptCount val="3"/>
                <c:pt idx="0">
                  <c:v>2.9717424</c:v>
                </c:pt>
                <c:pt idx="1">
                  <c:v>2.9717424</c:v>
                </c:pt>
                <c:pt idx="2">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5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127029608405"/>
          <c:w val="0.679048550016292"/>
          <c:h val="0.758357211079274"/>
        </c:manualLayout>
      </c:layout>
      <c:barChart>
        <c:barDir val="col"/>
        <c:grouping val="stacked"/>
        <c:varyColors val="0"/>
        <c:ser>
          <c:idx val="0"/>
          <c:order val="0"/>
          <c:tx>
            <c:strRef>
              <c:f>'T.AJUNTAMENT'!$A$276</c:f>
              <c:strCache>
                <c:ptCount val="1"/>
                <c:pt idx="0">
                  <c:v>Recollida de residus</c:v>
                </c:pt>
              </c:strCache>
            </c:strRef>
          </c:tx>
          <c:spPr>
            <a:solidFill>
              <a:srgbClr val="4672a8"/>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'T.AJUNTAMENT'!$B$276:$G$276</c:f>
              <c:numCache>
                <c:formatCode>General</c:formatCode>
                <c:ptCount val="6"/>
                <c:pt idx="0">
                  <c:v>154.06180185795</c:v>
                </c:pt>
                <c:pt idx="1">
                  <c:v>154.06180185795</c:v>
                </c:pt>
                <c:pt idx="2">
                  <c:v>154.06180185795</c:v>
                </c:pt>
                <c:pt idx="3">
                  <c:v>154.06180185795</c:v>
                </c:pt>
                <c:pt idx="4">
                  <c:v>154.06180185795</c:v>
                </c:pt>
                <c:pt idx="5">
                  <c:v>154.06180185795</c:v>
                </c:pt>
              </c:numCache>
            </c:numRef>
          </c:val>
        </c:ser>
        <c:ser>
          <c:idx val="1"/>
          <c:order val="1"/>
          <c:tx>
            <c:strRef>
              <c:f>'T.AJUNTAMENT'!$A$277</c:f>
              <c:strCache>
                <c:ptCount val="1"/>
                <c:pt idx="0">
                  <c:v>Jardineria</c:v>
                </c:pt>
              </c:strCache>
            </c:strRef>
          </c:tx>
          <c:spPr>
            <a:solidFill>
              <a:srgbClr val="4299b0"/>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'T.AJUNTAMENT'!$B$277:$G$277</c:f>
              <c:numCache>
                <c:formatCode>General</c:formatCode>
                <c:ptCount val="6"/>
                <c:pt idx="0">
                  <c:v>0</c:v>
                </c:pt>
                <c:pt idx="1">
                  <c:v>0</c:v>
                </c:pt>
                <c:pt idx="2">
                  <c:v>0</c:v>
                </c:pt>
                <c:pt idx="3">
                  <c:v>0</c:v>
                </c:pt>
                <c:pt idx="4">
                  <c:v>0</c:v>
                </c:pt>
                <c:pt idx="5">
                  <c:v>0</c:v>
                </c:pt>
              </c:numCache>
            </c:numRef>
          </c:val>
        </c:ser>
        <c:ser>
          <c:idx val="2"/>
          <c:order val="2"/>
          <c:tx>
            <c:strRef>
              <c:f>'T.AJUNTAMENT'!$A$278</c:f>
              <c:strCache>
                <c:ptCount val="1"/>
                <c:pt idx="0">
                  <c:v>Neteja viària</c:v>
                </c:pt>
              </c:strCache>
            </c:strRef>
          </c:tx>
          <c:spPr>
            <a:solidFill>
              <a:srgbClr val="dc853e"/>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'T.AJUNTAMENT'!$B$278:$G$278</c:f>
              <c:numCache>
                <c:formatCode>General</c:formatCode>
                <c:ptCount val="6"/>
                <c:pt idx="0">
                  <c:v>0</c:v>
                </c:pt>
                <c:pt idx="1">
                  <c:v>0</c:v>
                </c:pt>
                <c:pt idx="2">
                  <c:v>0</c:v>
                </c:pt>
                <c:pt idx="3">
                  <c:v>0</c:v>
                </c:pt>
                <c:pt idx="4">
                  <c:v>0</c:v>
                </c:pt>
                <c:pt idx="5">
                  <c:v>0</c:v>
                </c:pt>
              </c:numCache>
            </c:numRef>
          </c:val>
        </c:ser>
        <c:ser>
          <c:idx val="3"/>
          <c:order val="3"/>
          <c:tx>
            <c:strRef>
              <c:f>'T.AJUNTAMENT'!$A$279</c:f>
              <c:strCache>
                <c:ptCount val="1"/>
                <c:pt idx="0">
                  <c:v>sa</c:v>
                </c:pt>
              </c:strCache>
            </c:strRef>
          </c:tx>
          <c:spPr>
            <a:solidFill>
              <a:srgbClr val="93a9ce"/>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'T.AJUNTAMENT'!$B$279:$G$279</c:f>
              <c:numCache>
                <c:formatCode>General</c:formatCode>
                <c:ptCount val="6"/>
                <c:pt idx="0">
                  <c:v>0</c:v>
                </c:pt>
                <c:pt idx="1">
                  <c:v>0</c:v>
                </c:pt>
                <c:pt idx="2">
                  <c:v>0</c:v>
                </c:pt>
                <c:pt idx="3">
                  <c:v>0</c:v>
                </c:pt>
                <c:pt idx="4">
                  <c:v>0</c:v>
                </c:pt>
                <c:pt idx="5">
                  <c:v>0</c:v>
                </c:pt>
              </c:numCache>
            </c:numRef>
          </c:val>
        </c:ser>
        <c:gapWidth val="150"/>
        <c:overlap val="100"/>
        <c:axId val="93585376"/>
        <c:axId val="98558497"/>
      </c:barChart>
      <c:catAx>
        <c:axId val="93585376"/>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98558497"/>
        <c:crosses val="autoZero"/>
        <c:auto val="1"/>
        <c:lblAlgn val="ctr"/>
        <c:lblOffset val="100"/>
      </c:catAx>
      <c:valAx>
        <c:axId val="9855849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vehicles externalitzats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3585376"/>
        <c:crosses val="autoZero"/>
        <c:crossBetween val="midCat"/>
      </c:valAx>
      <c:spPr>
        <a:solidFill>
          <a:srgbClr val="ffffff"/>
        </a:solidFill>
        <a:ln>
          <a:noFill/>
        </a:ln>
      </c:spPr>
    </c:plotArea>
    <c:legend>
      <c:layout>
        <c:manualLayout>
          <c:xMode val="edge"/>
          <c:yMode val="edge"/>
          <c:x val="0.840013033561421"/>
          <c:y val="0.223018147086915"/>
        </c:manualLayout>
      </c:layout>
      <c:spPr>
        <a:noFill/>
        <a:ln>
          <a:noFill/>
        </a:ln>
      </c:spPr>
    </c:legend>
    <c:plotVisOnly val="1"/>
    <c:dispBlanksAs val="gap"/>
  </c:chart>
  <c:spPr>
    <a:solidFill>
      <a:srgbClr val="ffffff"/>
    </a:solidFill>
    <a:ln>
      <a:noFill/>
    </a:ln>
  </c:spPr>
</c:chartSpace>
</file>

<file path=xl/charts/chart15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2003910068426"/>
          <c:y val="0.0611556982343499"/>
          <c:w val="0.679048550016292"/>
          <c:h val="0.758266452648475"/>
        </c:manualLayout>
      </c:layout>
      <c:barChart>
        <c:barDir val="col"/>
        <c:grouping val="stacked"/>
        <c:varyColors val="0"/>
        <c:ser>
          <c:idx val="0"/>
          <c:order val="0"/>
          <c:tx>
            <c:strRef>
              <c:f>'T.AJUNTAMENT'!$A$262</c:f>
              <c:strCache>
                <c:ptCount val="1"/>
                <c:pt idx="0">
                  <c:v>Recollida de residus</c:v>
                </c:pt>
              </c:strCache>
            </c:strRef>
          </c:tx>
          <c:spPr>
            <a:solidFill>
              <a:srgbClr val="4672a8"/>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'T.AJUNTAMENT'!$B$262:$G$262</c:f>
              <c:numCache>
                <c:formatCode>General</c:formatCode>
                <c:ptCount val="6"/>
                <c:pt idx="0">
                  <c:v>577010.49385</c:v>
                </c:pt>
                <c:pt idx="1">
                  <c:v>577010.49385</c:v>
                </c:pt>
                <c:pt idx="2">
                  <c:v>577010.49385</c:v>
                </c:pt>
                <c:pt idx="3">
                  <c:v>577010.49385</c:v>
                </c:pt>
                <c:pt idx="4">
                  <c:v>577010.49385</c:v>
                </c:pt>
                <c:pt idx="5">
                  <c:v>577010.49385</c:v>
                </c:pt>
              </c:numCache>
            </c:numRef>
          </c:val>
        </c:ser>
        <c:ser>
          <c:idx val="1"/>
          <c:order val="1"/>
          <c:tx>
            <c:strRef>
              <c:f>'T.AJUNTAMENT'!$A$263</c:f>
              <c:strCache>
                <c:ptCount val="1"/>
                <c:pt idx="0">
                  <c:v>Jardineria</c:v>
                </c:pt>
              </c:strCache>
            </c:strRef>
          </c:tx>
          <c:spPr>
            <a:solidFill>
              <a:srgbClr val="4299b0"/>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'T.AJUNTAMENT'!$B$263:$G$263</c:f>
              <c:numCache>
                <c:formatCode>General</c:formatCode>
                <c:ptCount val="6"/>
                <c:pt idx="0">
                  <c:v>0</c:v>
                </c:pt>
                <c:pt idx="1">
                  <c:v>0</c:v>
                </c:pt>
                <c:pt idx="2">
                  <c:v>0</c:v>
                </c:pt>
                <c:pt idx="3">
                  <c:v>0</c:v>
                </c:pt>
                <c:pt idx="4">
                  <c:v>0</c:v>
                </c:pt>
                <c:pt idx="5">
                  <c:v>0</c:v>
                </c:pt>
              </c:numCache>
            </c:numRef>
          </c:val>
        </c:ser>
        <c:ser>
          <c:idx val="2"/>
          <c:order val="2"/>
          <c:tx>
            <c:strRef>
              <c:f>'T.AJUNTAMENT'!$A$264</c:f>
              <c:strCache>
                <c:ptCount val="1"/>
                <c:pt idx="0">
                  <c:v>Neteja viària</c:v>
                </c:pt>
              </c:strCache>
            </c:strRef>
          </c:tx>
          <c:spPr>
            <a:solidFill>
              <a:srgbClr val="dc853e"/>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'T.AJUNTAMENT'!$B$264:$G$264</c:f>
              <c:numCache>
                <c:formatCode>General</c:formatCode>
                <c:ptCount val="6"/>
                <c:pt idx="0">
                  <c:v>0</c:v>
                </c:pt>
                <c:pt idx="1">
                  <c:v>0</c:v>
                </c:pt>
                <c:pt idx="2">
                  <c:v>0</c:v>
                </c:pt>
                <c:pt idx="3">
                  <c:v>0</c:v>
                </c:pt>
                <c:pt idx="4">
                  <c:v>0</c:v>
                </c:pt>
                <c:pt idx="5">
                  <c:v>0</c:v>
                </c:pt>
              </c:numCache>
            </c:numRef>
          </c:val>
        </c:ser>
        <c:ser>
          <c:idx val="3"/>
          <c:order val="3"/>
          <c:tx>
            <c:strRef>
              <c:f>'T.AJUNTAMENT'!$A$265</c:f>
              <c:strCache>
                <c:ptCount val="1"/>
                <c:pt idx="0">
                  <c:v>sa</c:v>
                </c:pt>
              </c:strCache>
            </c:strRef>
          </c:tx>
          <c:spPr>
            <a:solidFill>
              <a:srgbClr val="93a9ce"/>
            </a:solidFill>
            <a:ln>
              <a:noFill/>
            </a:ln>
          </c:spPr>
          <c:invertIfNegative val="0"/>
          <c:dLbls>
            <c:showLegendKey val="0"/>
            <c:showVal val="0"/>
            <c:showCatName val="0"/>
            <c:showSerName val="0"/>
            <c:showPercent val="0"/>
            <c:showLeaderLines val="0"/>
          </c:dLbls>
          <c:cat>
            <c:strRef>
              <c:f>'T.AJUNTAMENT'!$B$246:$G$246</c:f>
              <c:strCache>
                <c:ptCount val="6"/>
                <c:pt idx="0">
                  <c:v>2005</c:v>
                </c:pt>
                <c:pt idx="1">
                  <c:v>2006</c:v>
                </c:pt>
                <c:pt idx="2">
                  <c:v>2007</c:v>
                </c:pt>
                <c:pt idx="3">
                  <c:v>2008</c:v>
                </c:pt>
                <c:pt idx="4">
                  <c:v>2009</c:v>
                </c:pt>
                <c:pt idx="5">
                  <c:v>2010</c:v>
                </c:pt>
              </c:strCache>
            </c:strRef>
          </c:cat>
          <c:val>
            <c:numRef>
              <c:f>'T.AJUNTAMENT'!$B$265:$G$265</c:f>
              <c:numCache>
                <c:formatCode>General</c:formatCode>
                <c:ptCount val="6"/>
                <c:pt idx="0">
                  <c:v>0</c:v>
                </c:pt>
                <c:pt idx="1">
                  <c:v>0</c:v>
                </c:pt>
                <c:pt idx="2">
                  <c:v>0</c:v>
                </c:pt>
                <c:pt idx="3">
                  <c:v>0</c:v>
                </c:pt>
                <c:pt idx="4">
                  <c:v>0</c:v>
                </c:pt>
                <c:pt idx="5">
                  <c:v>0</c:v>
                </c:pt>
              </c:numCache>
            </c:numRef>
          </c:val>
        </c:ser>
        <c:gapWidth val="150"/>
        <c:overlap val="100"/>
        <c:axId val="84628819"/>
        <c:axId val="16277597"/>
      </c:barChart>
      <c:catAx>
        <c:axId val="84628819"/>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16277597"/>
        <c:crosses val="autoZero"/>
        <c:auto val="1"/>
        <c:lblAlgn val="ctr"/>
        <c:lblOffset val="100"/>
      </c:catAx>
      <c:valAx>
        <c:axId val="1627759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vehicles municipals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4628819"/>
        <c:crosses val="autoZero"/>
        <c:crossBetween val="midCat"/>
      </c:valAx>
      <c:spPr>
        <a:solidFill>
          <a:srgbClr val="ffffff"/>
        </a:solidFill>
        <a:ln>
          <a:noFill/>
        </a:ln>
      </c:spPr>
    </c:plotArea>
    <c:legend>
      <c:layout>
        <c:manualLayout>
          <c:xMode val="edge"/>
          <c:yMode val="edge"/>
          <c:x val="0.825105897686543"/>
          <c:y val="0.223113964686998"/>
        </c:manualLayout>
      </c:layout>
      <c:spPr>
        <a:noFill/>
        <a:ln>
          <a:noFill/>
        </a:ln>
      </c:spPr>
    </c:legend>
    <c:plotVisOnly val="1"/>
    <c:dispBlanksAs val="gap"/>
  </c:chart>
  <c:spPr>
    <a:solidFill>
      <a:srgbClr val="ffffff"/>
    </a:solidFill>
    <a:ln>
      <a:noFill/>
    </a:ln>
  </c:spPr>
</c:chartSpace>
</file>

<file path=xl/charts/chart15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14001933725938"/>
          <c:y val="0.110241625480505"/>
          <c:w val="0.791113650347192"/>
          <c:h val="0.683964854475563"/>
        </c:manualLayout>
      </c:layout>
      <c:lineChart>
        <c:grouping val="standard"/>
        <c:ser>
          <c:idx val="0"/>
          <c:order val="0"/>
          <c:tx>
            <c:strRef>
              <c:f>'13. ESCENARI'!$A$4</c:f>
              <c:strCache>
                <c:ptCount val="1"/>
                <c:pt idx="0">
                  <c:v>Escenari PAES (-20%)</c:v>
                </c:pt>
              </c:strCache>
            </c:strRef>
          </c:tx>
          <c:spPr>
            <a:solidFill>
              <a:srgbClr val="4a7ebb"/>
            </a:solidFill>
            <a:ln w="19080">
              <a:solidFill>
                <a:srgbClr val="4a7ebb"/>
              </a:solidFill>
              <a:round/>
            </a:ln>
          </c:spPr>
          <c:marker>
            <c:symbol val="none"/>
          </c:marker>
          <c:dLbls>
            <c:dLbl>
              <c:idx val="0"/>
              <c:showLegendKey val="0"/>
              <c:showVal val="1"/>
              <c:showCatName val="0"/>
              <c:showSerName val="0"/>
              <c:showPercent val="0"/>
            </c:dLbl>
            <c:dLbl>
              <c:idx val="15"/>
              <c:showLegendKey val="0"/>
              <c:showVal val="1"/>
              <c:showCatName val="0"/>
              <c:showSerName val="0"/>
              <c:showPercent val="0"/>
            </c:dLbl>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ESCENARI'!$B$4:$Q$4</c:f>
              <c:numCache>
                <c:formatCode>General</c:formatCode>
                <c:ptCount val="16"/>
                <c:pt idx="0">
                  <c:v>108405.291650738</c:v>
                </c:pt>
                <c:pt idx="1">
                  <c:v>119420.133734413</c:v>
                </c:pt>
                <c:pt idx="2">
                  <c:v>117400.328858971</c:v>
                </c:pt>
                <c:pt idx="3">
                  <c:v>113922.710818251</c:v>
                </c:pt>
                <c:pt idx="4">
                  <c:v>112219.353476544</c:v>
                </c:pt>
                <c:pt idx="5">
                  <c:v>110944.597468746</c:v>
                </c:pt>
                <c:pt idx="6">
                  <c:v>109669.841460949</c:v>
                </c:pt>
                <c:pt idx="7">
                  <c:v>108395.085453151</c:v>
                </c:pt>
                <c:pt idx="8">
                  <c:v>105845.573437556</c:v>
                </c:pt>
                <c:pt idx="9">
                  <c:v>103296.06142196</c:v>
                </c:pt>
                <c:pt idx="10">
                  <c:v>100746.549406365</c:v>
                </c:pt>
                <c:pt idx="11">
                  <c:v>97942.0861892101</c:v>
                </c:pt>
                <c:pt idx="12">
                  <c:v>95137.6229720553</c:v>
                </c:pt>
                <c:pt idx="13">
                  <c:v>92333.1597549004</c:v>
                </c:pt>
                <c:pt idx="14">
                  <c:v>89528.6965377455</c:v>
                </c:pt>
                <c:pt idx="15">
                  <c:v>86724.2333205907</c:v>
                </c:pt>
              </c:numCache>
            </c:numRef>
          </c:val>
          <c:smooth val="0"/>
        </c:ser>
        <c:ser>
          <c:idx val="1"/>
          <c:order val="1"/>
          <c:tx>
            <c:strRef>
              <c:f>'13. ESCENARI'!$A$2</c:f>
              <c:strCache>
                <c:ptCount val="1"/>
                <c:pt idx="0">
                  <c:v>Escenari Tendencial o BaU</c:v>
                </c:pt>
              </c:strCache>
            </c:strRef>
          </c:tx>
          <c:spPr>
            <a:solidFill>
              <a:srgbClr val="be4b48"/>
            </a:solidFill>
            <a:ln w="19080">
              <a:solidFill>
                <a:srgbClr val="be4b48"/>
              </a:solidFill>
              <a:round/>
            </a:ln>
          </c:spPr>
          <c:marker>
            <c:symbol val="none"/>
          </c:marker>
          <c:dLbls>
            <c:dLbl>
              <c:idx val="15"/>
              <c:showLegendKey val="0"/>
              <c:showVal val="1"/>
              <c:showCatName val="0"/>
              <c:showSerName val="0"/>
              <c:showPercent val="0"/>
            </c:dLbl>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ESCENARI'!$B$2:$Q$2</c:f>
              <c:numCache>
                <c:formatCode>General</c:formatCode>
                <c:ptCount val="16"/>
                <c:pt idx="0">
                  <c:v>108405.291650738</c:v>
                </c:pt>
                <c:pt idx="1">
                  <c:v>119420.133734413</c:v>
                </c:pt>
                <c:pt idx="2">
                  <c:v>117400.328858971</c:v>
                </c:pt>
                <c:pt idx="3">
                  <c:v>113922.710818251</c:v>
                </c:pt>
                <c:pt idx="4">
                  <c:v>112219.353476544</c:v>
                </c:pt>
                <c:pt idx="5">
                  <c:v>113206.416805497</c:v>
                </c:pt>
                <c:pt idx="6">
                  <c:v>114202.162184249</c:v>
                </c:pt>
                <c:pt idx="7">
                  <c:v>115206.66597871</c:v>
                </c:pt>
                <c:pt idx="8">
                  <c:v>116220.005226492</c:v>
                </c:pt>
                <c:pt idx="9">
                  <c:v>117242.257642817</c:v>
                </c:pt>
                <c:pt idx="10">
                  <c:v>118273.501626476</c:v>
                </c:pt>
                <c:pt idx="11">
                  <c:v>119313.816265847</c:v>
                </c:pt>
                <c:pt idx="12">
                  <c:v>120363.281344952</c:v>
                </c:pt>
                <c:pt idx="13">
                  <c:v>121421.977349584</c:v>
                </c:pt>
                <c:pt idx="14">
                  <c:v>122489.985473475</c:v>
                </c:pt>
                <c:pt idx="15">
                  <c:v>123567.387624523</c:v>
                </c:pt>
              </c:numCache>
            </c:numRef>
          </c:val>
          <c:smooth val="0"/>
        </c:ser>
        <c:hiLowLines>
          <c:spPr>
            <a:ln>
              <a:noFill/>
            </a:ln>
          </c:spPr>
        </c:hiLowLines>
        <c:marker val="0"/>
        <c:axId val="41573472"/>
        <c:axId val="25740654"/>
      </c:lineChart>
      <c:catAx>
        <c:axId val="41573472"/>
        <c:scaling>
          <c:orientation val="minMax"/>
        </c:scaling>
        <c:delete val="0"/>
        <c:axPos val="b"/>
        <c:numFmt formatCode="#,##0" sourceLinked="1"/>
        <c:majorTickMark val="none"/>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onduit ITC Light"/>
                <a:ea typeface="Calibri"/>
              </a:defRPr>
            </a:pPr>
          </a:p>
        </c:txPr>
        <c:crossAx val="25740654"/>
        <c:crosses val="autoZero"/>
        <c:auto val="1"/>
        <c:lblAlgn val="ctr"/>
        <c:lblOffset val="100"/>
      </c:catAx>
      <c:valAx>
        <c:axId val="25740654"/>
        <c:scaling>
          <c:orientation val="minMax"/>
          <c:min val="0"/>
        </c:scaling>
        <c:delete val="0"/>
        <c:axPos val="l"/>
        <c:majorGridlines>
          <c:spPr>
            <a:ln w="9360">
              <a:solidFill>
                <a:srgbClr val="878787"/>
              </a:solidFill>
              <a:round/>
            </a:ln>
          </c:spPr>
        </c:majorGridlines>
        <c:title>
          <c:tx>
            <c:rich>
              <a:bodyPr rot="-5400000"/>
              <a:lstStyle/>
              <a:p>
                <a:pPr>
                  <a:defRPr b="0" sz="1000" spc="-1" strike="noStrike">
                    <a:solidFill>
                      <a:srgbClr val="000000"/>
                    </a:solidFill>
                    <a:uFill>
                      <a:solidFill>
                        <a:srgbClr val="ffffff"/>
                      </a:solidFill>
                    </a:uFill>
                    <a:latin typeface="Conduit ITC Light"/>
                    <a:ea typeface="Calibri"/>
                  </a:defRPr>
                </a:pPr>
                <a:r>
                  <a:rPr b="0" sz="1000" spc="-1" strike="noStrike">
                    <a:solidFill>
                      <a:srgbClr val="000000"/>
                    </a:solidFill>
                    <a:uFill>
                      <a:solidFill>
                        <a:srgbClr val="ffffff"/>
                      </a:solidFill>
                    </a:uFill>
                    <a:latin typeface="Conduit ITC Light"/>
                    <a:ea typeface="Calibri"/>
                  </a:rPr>
                  <a:t>t. CO2</a:t>
                </a:r>
              </a:p>
            </c:rich>
          </c:tx>
          <c:overlay val="0"/>
        </c:title>
        <c:numFmt formatCode="#,##0" sourceLinked="0"/>
        <c:majorTickMark val="none"/>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onduit ITC Light"/>
                <a:ea typeface="Calibri"/>
              </a:defRPr>
            </a:pPr>
          </a:p>
        </c:txPr>
        <c:crossAx val="41573472"/>
        <c:crosses val="autoZero"/>
        <c:crossBetween val="midCat"/>
      </c:valAx>
      <c:spPr>
        <a:solidFill>
          <a:srgbClr val="ffffff"/>
        </a:solidFill>
        <a:ln>
          <a:noFill/>
        </a:ln>
      </c:spPr>
    </c:plotArea>
    <c:legend>
      <c:layout>
        <c:manualLayout>
          <c:xMode val="edge"/>
          <c:yMode val="edge"/>
          <c:x val="0.124901116287246"/>
          <c:y val="0.870744096650192"/>
        </c:manualLayout>
      </c:layout>
      <c:spPr>
        <a:noFill/>
        <a:ln>
          <a:noFill/>
        </a:ln>
      </c:spPr>
    </c:legend>
    <c:plotVisOnly val="1"/>
    <c:dispBlanksAs val="gap"/>
  </c:chart>
  <c:spPr>
    <a:solidFill>
      <a:srgbClr val="ffffff"/>
    </a:solidFill>
    <a:ln>
      <a:noFill/>
    </a:ln>
  </c:spPr>
</c:chartSpace>
</file>

<file path=xl/charts/chart158.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12457886380359"/>
          <c:y val="0.129590304034806"/>
          <c:w val="0.834914611005693"/>
          <c:h val="0.698088776091573"/>
        </c:manualLayout>
      </c:layout>
      <c:lineChart>
        <c:grouping val="standard"/>
        <c:ser>
          <c:idx val="0"/>
          <c:order val="0"/>
          <c:tx>
            <c:strRef>
              <c:f>'13. ESCENARI'!$A$4</c:f>
              <c:strCache>
                <c:ptCount val="1"/>
                <c:pt idx="0">
                  <c:v>Escenari PAES (-20%)</c:v>
                </c:pt>
              </c:strCache>
            </c:strRef>
          </c:tx>
          <c:spPr>
            <a:solidFill>
              <a:srgbClr val="3399ff"/>
            </a:solidFill>
            <a:ln w="19080">
              <a:solidFill>
                <a:srgbClr val="3399ff"/>
              </a:solidFill>
              <a:custDash/>
              <a:round/>
            </a:ln>
          </c:spPr>
          <c:marker>
            <c:symbol val="none"/>
          </c:marker>
          <c:dLbls>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ESCENARI'!$B$4:$Q$4</c:f>
              <c:numCache>
                <c:formatCode>General</c:formatCode>
                <c:ptCount val="16"/>
                <c:pt idx="0">
                  <c:v>108405.291650738</c:v>
                </c:pt>
                <c:pt idx="1">
                  <c:v>119420.133734413</c:v>
                </c:pt>
                <c:pt idx="2">
                  <c:v>117400.328858971</c:v>
                </c:pt>
                <c:pt idx="3">
                  <c:v>113922.710818251</c:v>
                </c:pt>
                <c:pt idx="4">
                  <c:v>112219.353476544</c:v>
                </c:pt>
                <c:pt idx="5">
                  <c:v>110944.597468746</c:v>
                </c:pt>
                <c:pt idx="6">
                  <c:v>109669.841460949</c:v>
                </c:pt>
                <c:pt idx="7">
                  <c:v>108395.085453151</c:v>
                </c:pt>
                <c:pt idx="8">
                  <c:v>105845.573437556</c:v>
                </c:pt>
                <c:pt idx="9">
                  <c:v>103296.06142196</c:v>
                </c:pt>
                <c:pt idx="10">
                  <c:v>100746.549406365</c:v>
                </c:pt>
                <c:pt idx="11">
                  <c:v>97942.0861892101</c:v>
                </c:pt>
                <c:pt idx="12">
                  <c:v>95137.6229720553</c:v>
                </c:pt>
                <c:pt idx="13">
                  <c:v>92333.1597549004</c:v>
                </c:pt>
                <c:pt idx="14">
                  <c:v>89528.6965377455</c:v>
                </c:pt>
                <c:pt idx="15">
                  <c:v>86724.2333205907</c:v>
                </c:pt>
              </c:numCache>
            </c:numRef>
          </c:val>
          <c:smooth val="0"/>
        </c:ser>
        <c:ser>
          <c:idx val="1"/>
          <c:order val="1"/>
          <c:tx>
            <c:strRef>
              <c:f>'13. ESCENARI'!$A$15</c:f>
              <c:strCache>
                <c:ptCount val="1"/>
                <c:pt idx="0">
                  <c:v>PAES Accions Ajuntament</c:v>
                </c:pt>
              </c:strCache>
            </c:strRef>
          </c:tx>
          <c:spPr>
            <a:solidFill>
              <a:srgbClr val="ff0000"/>
            </a:solidFill>
            <a:ln w="19080">
              <a:solidFill>
                <a:srgbClr val="ff0000"/>
              </a:solidFill>
              <a:round/>
            </a:ln>
          </c:spPr>
          <c:marker>
            <c:symbol val="none"/>
          </c:marker>
          <c:dLbls>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ESCENARI'!$B$15:$Q$15</c:f>
              <c:numCache>
                <c:formatCode>General</c:formatCode>
                <c:ptCount val="16"/>
                <c:pt idx="0">
                  <c:v>108405.291650738</c:v>
                </c:pt>
                <c:pt idx="1">
                  <c:v>119420.133734413</c:v>
                </c:pt>
                <c:pt idx="2">
                  <c:v>117400.328858971</c:v>
                </c:pt>
                <c:pt idx="3">
                  <c:v>113922.710818251</c:v>
                </c:pt>
                <c:pt idx="4">
                  <c:v>112219.353476544</c:v>
                </c:pt>
                <c:pt idx="5">
                  <c:v>111872.620583289</c:v>
                </c:pt>
                <c:pt idx="6">
                  <c:v>111525.887690034</c:v>
                </c:pt>
                <c:pt idx="7">
                  <c:v>111179.154796779</c:v>
                </c:pt>
                <c:pt idx="8">
                  <c:v>110832.421903524</c:v>
                </c:pt>
                <c:pt idx="9">
                  <c:v>110485.689010269</c:v>
                </c:pt>
                <c:pt idx="10">
                  <c:v>110138.956117014</c:v>
                </c:pt>
                <c:pt idx="11">
                  <c:v>109792.223223759</c:v>
                </c:pt>
                <c:pt idx="12">
                  <c:v>109445.490330504</c:v>
                </c:pt>
                <c:pt idx="13">
                  <c:v>109098.757437248</c:v>
                </c:pt>
                <c:pt idx="14">
                  <c:v>108752.024543993</c:v>
                </c:pt>
                <c:pt idx="15">
                  <c:v>108405.291650738</c:v>
                </c:pt>
              </c:numCache>
            </c:numRef>
          </c:val>
          <c:smooth val="0"/>
        </c:ser>
        <c:ser>
          <c:idx val="2"/>
          <c:order val="2"/>
          <c:tx>
            <c:strRef>
              <c:f>'13. ESCENARI'!$A$18</c:f>
              <c:strCache>
                <c:ptCount val="1"/>
                <c:pt idx="0">
                  <c:v>PAES Accions Indirectes</c:v>
                </c:pt>
              </c:strCache>
            </c:strRef>
          </c:tx>
          <c:spPr>
            <a:solidFill>
              <a:srgbClr val="ffff00"/>
            </a:solidFill>
            <a:ln w="47520">
              <a:solidFill>
                <a:srgbClr val="ffff00"/>
              </a:solidFill>
              <a:round/>
            </a:ln>
          </c:spPr>
          <c:marker>
            <c:symbol val="none"/>
          </c:marker>
          <c:dLbls>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ESCENARI'!$B$18:$Q$18</c:f>
              <c:numCache>
                <c:formatCode>General</c:formatCode>
                <c:ptCount val="16"/>
                <c:pt idx="0">
                  <c:v>108405.291650738</c:v>
                </c:pt>
                <c:pt idx="1">
                  <c:v>119420.133734413</c:v>
                </c:pt>
                <c:pt idx="2">
                  <c:v>117400.328858971</c:v>
                </c:pt>
                <c:pt idx="3">
                  <c:v>113922.710818251</c:v>
                </c:pt>
                <c:pt idx="4">
                  <c:v>112219.353476544</c:v>
                </c:pt>
                <c:pt idx="5">
                  <c:v>111872.620583289</c:v>
                </c:pt>
                <c:pt idx="6">
                  <c:v>111525.887690034</c:v>
                </c:pt>
                <c:pt idx="7">
                  <c:v>111179.154796779</c:v>
                </c:pt>
                <c:pt idx="8">
                  <c:v>110832.421903524</c:v>
                </c:pt>
                <c:pt idx="9">
                  <c:v>110485.689010269</c:v>
                </c:pt>
                <c:pt idx="10">
                  <c:v>110138.956117014</c:v>
                </c:pt>
                <c:pt idx="11">
                  <c:v>109792.223223759</c:v>
                </c:pt>
                <c:pt idx="12">
                  <c:v>109445.490330504</c:v>
                </c:pt>
                <c:pt idx="13">
                  <c:v>109098.757437248</c:v>
                </c:pt>
                <c:pt idx="14">
                  <c:v>108752.024543993</c:v>
                </c:pt>
                <c:pt idx="15">
                  <c:v>108405.291650738</c:v>
                </c:pt>
              </c:numCache>
            </c:numRef>
          </c:val>
          <c:smooth val="0"/>
        </c:ser>
        <c:ser>
          <c:idx val="3"/>
          <c:order val="3"/>
          <c:tx>
            <c:strRef>
              <c:f>'13. ESCENARI'!$A$21</c:f>
              <c:strCache>
                <c:ptCount val="1"/>
                <c:pt idx="0">
                  <c:v>PAES Total</c:v>
                </c:pt>
              </c:strCache>
            </c:strRef>
          </c:tx>
          <c:spPr>
            <a:solidFill>
              <a:srgbClr val="00b050"/>
            </a:solidFill>
            <a:ln w="3240">
              <a:solidFill>
                <a:srgbClr val="00b050"/>
              </a:solidFill>
              <a:round/>
            </a:ln>
          </c:spPr>
          <c:marker>
            <c:symbol val="none"/>
          </c:marker>
          <c:dLbls>
            <c:showLegendKey val="0"/>
            <c:showVal val="0"/>
            <c:showCatName val="0"/>
            <c:showSerName val="0"/>
            <c:showPercent val="0"/>
            <c:showLeaderLines val="0"/>
          </c:dLbls>
          <c:cat>
            <c:strRef>
              <c:f>'13. ESCENARI'!$B$1:$Q$1</c:f>
              <c:strCache>
                <c:ptCount val="16"/>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strCache>
            </c:strRef>
          </c:cat>
          <c:val>
            <c:numRef>
              <c:f>'13. ESCENARI'!$B$21:$Q$21</c:f>
              <c:numCache>
                <c:formatCode>General</c:formatCode>
                <c:ptCount val="16"/>
                <c:pt idx="0">
                  <c:v>108405.291650738</c:v>
                </c:pt>
                <c:pt idx="1">
                  <c:v>119420.133734413</c:v>
                </c:pt>
                <c:pt idx="2">
                  <c:v>117400.328858971</c:v>
                </c:pt>
                <c:pt idx="3">
                  <c:v>113922.710818251</c:v>
                </c:pt>
                <c:pt idx="4">
                  <c:v>112219.353476544</c:v>
                </c:pt>
                <c:pt idx="5">
                  <c:v>111872.620583289</c:v>
                </c:pt>
                <c:pt idx="6">
                  <c:v>111525.887690034</c:v>
                </c:pt>
                <c:pt idx="7">
                  <c:v>111179.154796779</c:v>
                </c:pt>
                <c:pt idx="8">
                  <c:v>110832.421903524</c:v>
                </c:pt>
                <c:pt idx="9">
                  <c:v>110485.689010269</c:v>
                </c:pt>
                <c:pt idx="10">
                  <c:v>110138.956117014</c:v>
                </c:pt>
                <c:pt idx="11">
                  <c:v>109792.223223759</c:v>
                </c:pt>
                <c:pt idx="12">
                  <c:v>109445.490330504</c:v>
                </c:pt>
                <c:pt idx="13">
                  <c:v>109098.757437248</c:v>
                </c:pt>
                <c:pt idx="14">
                  <c:v>108752.024543993</c:v>
                </c:pt>
                <c:pt idx="15">
                  <c:v>108405.291650738</c:v>
                </c:pt>
              </c:numCache>
            </c:numRef>
          </c:val>
          <c:smooth val="0"/>
        </c:ser>
        <c:hiLowLines>
          <c:spPr>
            <a:ln>
              <a:noFill/>
            </a:ln>
          </c:spPr>
        </c:hiLowLines>
        <c:marker val="0"/>
        <c:axId val="4430354"/>
        <c:axId val="76597259"/>
      </c:lineChart>
      <c:catAx>
        <c:axId val="4430354"/>
        <c:scaling>
          <c:orientation val="minMax"/>
        </c:scaling>
        <c:delete val="0"/>
        <c:axPos val="b"/>
        <c:numFmt formatCode="#,##0"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76597259"/>
        <c:crosses val="autoZero"/>
        <c:auto val="1"/>
        <c:lblAlgn val="ctr"/>
        <c:lblOffset val="100"/>
      </c:catAx>
      <c:valAx>
        <c:axId val="7659725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ea typeface="Calibri"/>
                  </a:defRPr>
                </a:pPr>
                <a:r>
                  <a:rPr b="1" sz="1000" spc="-1" strike="noStrike">
                    <a:solidFill>
                      <a:srgbClr val="000000"/>
                    </a:solidFill>
                    <a:uFill>
                      <a:solidFill>
                        <a:srgbClr val="ffffff"/>
                      </a:solidFill>
                    </a:uFill>
                    <a:latin typeface="Calibri"/>
                    <a:ea typeface="Calibri"/>
                  </a:rPr>
                  <a:t>t. CO2</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4430354"/>
        <c:crosses val="autoZero"/>
        <c:crossBetween val="midCat"/>
      </c:valAx>
      <c:spPr>
        <a:solidFill>
          <a:srgbClr val="ffffff"/>
        </a:solidFill>
        <a:ln>
          <a:noFill/>
        </a:ln>
      </c:spPr>
    </c:plotArea>
    <c:legend>
      <c:layout>
        <c:manualLayout>
          <c:xMode val="edge"/>
          <c:yMode val="edge"/>
          <c:x val="0.065948960229253"/>
          <c:y val="0.882840420572849"/>
        </c:manualLayout>
      </c:layout>
      <c:spPr>
        <a:noFill/>
        <a:ln>
          <a:noFill/>
        </a:ln>
      </c:spPr>
    </c:legend>
    <c:plotVisOnly val="1"/>
    <c:dispBlanksAs val="gap"/>
  </c:chart>
  <c:spPr>
    <a:solidFill>
      <a:srgbClr val="ffffff"/>
    </a:solidFill>
    <a:ln>
      <a:solidFill>
        <a:srgbClr val="31859c"/>
      </a:solidFill>
    </a:ln>
  </c:spPr>
</c:chartSpace>
</file>

<file path=xl/charts/chart159.xml><?xml version="1.0" encoding="utf-8"?>
<c:chartSpace xmlns:c="http://schemas.openxmlformats.org/drawingml/2006/chart" xmlns:a="http://schemas.openxmlformats.org/drawingml/2006/main" xmlns:r="http://schemas.openxmlformats.org/officeDocument/2006/relationships">
  <c:lang val="en-US"/>
  <c:roundedCorners val="0"/>
  <c:chart>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37614678899083"/>
          <c:y val="0.351959869342044"/>
          <c:w val="0.752764055516349"/>
          <c:h val="0.619692020531964"/>
        </c:manualLayout>
      </c:layout>
      <c:pie3DChart>
        <c:varyColors val="1"/>
        <c:ser>
          <c:idx val="0"/>
          <c:order val="0"/>
          <c:spPr>
            <a:solidFill>
              <a:srgbClr val="4f81bd"/>
            </a:solidFill>
            <a:ln>
              <a:noFill/>
            </a:ln>
          </c:spPr>
          <c:explosion val="0"/>
          <c:dPt>
            <c:idx val="0"/>
            <c:spPr>
              <a:solidFill>
                <a:srgbClr val="c0504d"/>
              </a:solidFill>
              <a:ln>
                <a:noFill/>
              </a:ln>
            </c:spPr>
          </c:dPt>
          <c:dPt>
            <c:idx val="1"/>
            <c:spPr>
              <a:solidFill>
                <a:srgbClr val="9bbb59"/>
              </a:solidFill>
              <a:ln>
                <a:noFill/>
              </a:ln>
            </c:spPr>
          </c:dPt>
          <c:dPt>
            <c:idx val="2"/>
            <c:spPr>
              <a:solidFill>
                <a:srgbClr val="4bacc6"/>
              </a:solidFill>
              <a:ln>
                <a:noFill/>
              </a:ln>
            </c:spPr>
          </c:dPt>
          <c:dPt>
            <c:idx val="3"/>
            <c:spPr>
              <a:solidFill>
                <a:srgbClr val="8064a2"/>
              </a:solidFill>
              <a:ln>
                <a:noFill/>
              </a:ln>
            </c:spPr>
          </c:dPt>
          <c:dPt>
            <c:idx val="4"/>
            <c:spPr>
              <a:solidFill>
                <a:srgbClr val="4f81bd"/>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Pt>
            <c:idx val="8"/>
            <c:spPr>
              <a:solidFill>
                <a:srgbClr val="b8cd97"/>
              </a:solidFill>
              <a:ln>
                <a:noFill/>
              </a:ln>
            </c:spPr>
          </c:dPt>
          <c:dPt>
            <c:idx val="9"/>
            <c:spPr>
              <a:solidFill>
                <a:srgbClr val="a99bbd"/>
              </a:solidFill>
              <a:ln>
                <a:noFill/>
              </a:ln>
            </c:spPr>
          </c:dPt>
          <c:dLbls>
            <c:dLbl>
              <c:idx val="0"/>
              <c:dLblPos val="bestFit"/>
              <c:showLegendKey val="0"/>
              <c:showVal val="0"/>
              <c:showCatName val="1"/>
              <c:showSerName val="0"/>
              <c:showPercent val="1"/>
            </c:dLbl>
            <c:dLbl>
              <c:idx val="1"/>
              <c:dLblPos val="bestFit"/>
              <c:showLegendKey val="0"/>
              <c:showVal val="0"/>
              <c:showCatName val="1"/>
              <c:showSerName val="0"/>
              <c:showPercent val="1"/>
            </c:dLbl>
            <c:dLbl>
              <c:idx val="2"/>
              <c:dLblPos val="bestFit"/>
              <c:showLegendKey val="0"/>
              <c:showVal val="0"/>
              <c:showCatName val="1"/>
              <c:showSerName val="0"/>
              <c:showPercent val="1"/>
            </c:dLbl>
            <c:dLbl>
              <c:idx val="3"/>
              <c:dLblPos val="bestFit"/>
              <c:showLegendKey val="0"/>
              <c:showVal val="0"/>
              <c:showCatName val="1"/>
              <c:showSerName val="0"/>
              <c:showPercent val="1"/>
            </c:dLbl>
            <c:dLbl>
              <c:idx val="4"/>
              <c:dLblPos val="bestFit"/>
              <c:showLegendKey val="0"/>
              <c:showVal val="0"/>
              <c:showCatName val="1"/>
              <c:showSerName val="0"/>
              <c:showPercent val="1"/>
            </c:dLbl>
            <c:dLbl>
              <c:idx val="5"/>
              <c:dLblPos val="bestFit"/>
              <c:showLegendKey val="0"/>
              <c:showVal val="0"/>
              <c:showCatName val="1"/>
              <c:showSerName val="0"/>
              <c:showPercent val="1"/>
            </c:dLbl>
            <c:dLbl>
              <c:idx val="6"/>
              <c:dLblPos val="bestFit"/>
              <c:showLegendKey val="0"/>
              <c:showVal val="0"/>
              <c:showCatName val="1"/>
              <c:showSerName val="0"/>
              <c:showPercent val="1"/>
            </c:dLbl>
            <c:dLbl>
              <c:idx val="7"/>
              <c:dLblPos val="bestFit"/>
              <c:showLegendKey val="0"/>
              <c:showVal val="0"/>
              <c:showCatName val="1"/>
              <c:showSerName val="0"/>
              <c:showPercent val="1"/>
            </c:dLbl>
            <c:dLbl>
              <c:idx val="8"/>
              <c:dLblPos val="bestFit"/>
              <c:showLegendKey val="0"/>
              <c:showVal val="0"/>
              <c:showCatName val="1"/>
              <c:showSerName val="0"/>
              <c:showPercent val="1"/>
            </c:dLbl>
            <c:dLbl>
              <c:idx val="9"/>
              <c:dLblPos val="bestFit"/>
              <c:showLegendKey val="0"/>
              <c:showVal val="0"/>
              <c:showCatName val="1"/>
              <c:showSerName val="0"/>
              <c:showPercent val="1"/>
            </c:dLbl>
            <c:dLblPos val="bestFit"/>
            <c:showLegendKey val="0"/>
            <c:showVal val="0"/>
            <c:showCatName val="1"/>
            <c:showSerName val="0"/>
            <c:showPercent val="1"/>
            <c:showLeaderLines val="0"/>
          </c:dLbls>
          <c:cat>
            <c:strRef>
              <c:f>'T.R ESUM ÀMBIT PAES'!$C$36:$C$45</c:f>
              <c:strCache>
                <c:ptCount val="10"/>
                <c:pt idx="0">
                  <c:v>Sector domèstic</c:v>
                </c:pt>
                <c:pt idx="1">
                  <c:v>Sector serveis</c:v>
                </c:pt>
                <c:pt idx="2">
                  <c:v>Sector transport</c:v>
                </c:pt>
                <c:pt idx="3">
                  <c:v>Gestió de residus</c:v>
                </c:pt>
                <c:pt idx="4">
                  <c:v>Cicle de l’aigua</c:v>
                </c:pt>
                <c:pt idx="5">
                  <c:v>Equipaments municipals</c:v>
                </c:pt>
                <c:pt idx="6">
                  <c:v>Enllumenat públic</c:v>
                </c:pt>
                <c:pt idx="7">
                  <c:v>Flota de vehicles pròpia</c:v>
                </c:pt>
                <c:pt idx="8">
                  <c:v>Flota de vehicles externalitzada</c:v>
                </c:pt>
                <c:pt idx="9">
                  <c:v>Bombament</c:v>
                </c:pt>
              </c:strCache>
            </c:strRef>
          </c:cat>
          <c:val>
            <c:numRef>
              <c:f>'T.R ESUM ÀMBIT PAES'!$D$36:$D$45</c:f>
              <c:numCache>
                <c:formatCode>General</c:formatCode>
                <c:ptCount val="10"/>
                <c:pt idx="0">
                  <c:v/>
                </c:pt>
                <c:pt idx="1">
                  <c:v/>
                </c:pt>
                <c:pt idx="2">
                  <c:v/>
                </c:pt>
                <c:pt idx="3">
                  <c:v/>
                </c:pt>
                <c:pt idx="4">
                  <c:v/>
                </c:pt>
                <c:pt idx="5">
                  <c:v/>
                </c:pt>
                <c:pt idx="6">
                  <c:v/>
                </c:pt>
                <c:pt idx="7">
                  <c:v/>
                </c:pt>
                <c:pt idx="8">
                  <c:v/>
                </c:pt>
                <c:pt idx="9">
                  <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672a8"/>
              </a:solidFill>
              <a:ln>
                <a:noFill/>
              </a:ln>
            </c:spPr>
          </c:dPt>
          <c:dPt>
            <c:idx val="1"/>
            <c:spPr>
              <a:solidFill>
                <a:srgbClr val="ab4744"/>
              </a:solidFill>
              <a:ln>
                <a:noFill/>
              </a:ln>
            </c:spPr>
          </c:dPt>
          <c:dPt>
            <c:idx val="2"/>
            <c:spPr>
              <a:solidFill>
                <a:srgbClr val="8aa64f"/>
              </a:solidFill>
              <a:ln>
                <a:noFill/>
              </a:ln>
            </c:spPr>
          </c:dPt>
          <c:dPt>
            <c:idx val="3"/>
            <c:spPr>
              <a:solidFill>
                <a:srgbClr val="725990"/>
              </a:solidFill>
              <a:ln>
                <a:noFill/>
              </a:ln>
            </c:spPr>
          </c:dPt>
          <c:dPt>
            <c:idx val="4"/>
            <c:spPr>
              <a:solidFill>
                <a:srgbClr val="4299b0"/>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
              <c:idx val="6"/>
              <c:dLblPos val="bestFit"/>
              <c:showLegendKey val="0"/>
              <c:showVal val="0"/>
              <c:showCatName val="0"/>
              <c:showSerName val="0"/>
              <c:showPercent val="1"/>
            </c:dLbl>
            <c:dLbl>
              <c:idx val="7"/>
              <c:dLblPos val="bestFit"/>
              <c:showLegendKey val="0"/>
              <c:showVal val="0"/>
              <c:showCatName val="0"/>
              <c:showSerName val="0"/>
              <c:showPercent val="1"/>
            </c:dLbl>
            <c:dLblPos val="bestFit"/>
            <c:showLegendKey val="0"/>
            <c:showVal val="0"/>
            <c:showCatName val="0"/>
            <c:showSerName val="0"/>
            <c:showPercent val="1"/>
            <c:showLeaderLines val="0"/>
          </c:dLbls>
          <c:cat>
            <c:strRef>
              <c:f>'T. MUNICIPI'!$A$78:$A$85</c:f>
              <c:strCache>
                <c:ptCount val="8"/>
                <c:pt idx="0">
                  <c:v>Primari</c:v>
                </c:pt>
                <c:pt idx="1">
                  <c:v>Industrial</c:v>
                </c:pt>
                <c:pt idx="2">
                  <c:v>Serveis</c:v>
                </c:pt>
                <c:pt idx="3">
                  <c:v>Domèstic</c:v>
                </c:pt>
                <c:pt idx="4">
                  <c:v>Transport</c:v>
                </c:pt>
                <c:pt idx="5">
                  <c:v>Residus</c:v>
                </c:pt>
                <c:pt idx="6">
                  <c:v>Aigua</c:v>
                </c:pt>
                <c:pt idx="7">
                  <c:v>Prod. energia</c:v>
                </c:pt>
              </c:strCache>
            </c:strRef>
          </c:cat>
          <c:val>
            <c:numRef>
              <c:f>'T. MUNICIPI'!$F$78:$F$85</c:f>
              <c:numCache>
                <c:formatCode>General</c:formatCode>
                <c:ptCount val="8"/>
                <c:pt idx="0">
                  <c:v>1781.73008982398</c:v>
                </c:pt>
                <c:pt idx="1">
                  <c:v>5539.62565079262</c:v>
                </c:pt>
                <c:pt idx="2">
                  <c:v>28197.3349089287</c:v>
                </c:pt>
                <c:pt idx="3">
                  <c:v>46531.6593420632</c:v>
                </c:pt>
                <c:pt idx="4">
                  <c:v>23271.611774067</c:v>
                </c:pt>
                <c:pt idx="5">
                  <c:v>8007.43090743706</c:v>
                </c:pt>
                <c:pt idx="6">
                  <c:v>6211.316544048</c:v>
                </c:pt>
                <c:pt idx="7">
                  <c:v>-66.262053</c:v>
                </c:pt>
              </c:numCache>
            </c:numRef>
          </c:val>
        </c:ser>
      </c:pie3DChart>
      <c:spPr>
        <a:solidFill>
          <a:srgbClr val="d9d9d9"/>
        </a:solidFill>
        <a:ln>
          <a:noFill/>
        </a:ln>
      </c:spPr>
    </c:plotArea>
    <c:legend>
      <c:layout>
        <c:manualLayout>
          <c:xMode val="edge"/>
          <c:yMode val="edge"/>
          <c:x val="0.710470085470085"/>
          <c:y val="0.0236528177704648"/>
        </c:manualLayout>
      </c:layout>
      <c:spPr>
        <a:noFill/>
        <a:ln>
          <a:noFill/>
        </a:ln>
      </c:spPr>
    </c:legend>
    <c:plotVisOnly val="1"/>
    <c:dispBlanksAs val="zero"/>
  </c:chart>
  <c:spPr>
    <a:solidFill>
      <a:srgbClr val="ffffff"/>
    </a:solidFill>
    <a:ln>
      <a:noFill/>
    </a:ln>
  </c:spPr>
</c:chartSpace>
</file>

<file path=xl/charts/chart160.xml><?xml version="1.0" encoding="utf-8"?>
<c:chartSpace xmlns:c="http://schemas.openxmlformats.org/drawingml/2006/chart" xmlns:a="http://schemas.openxmlformats.org/drawingml/2006/main" xmlns:r="http://schemas.openxmlformats.org/officeDocument/2006/relationships">
  <c:lang val="en-US"/>
  <c:roundedCorners val="0"/>
  <c:chart>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37614678899083"/>
          <c:y val="0.352035460165636"/>
          <c:w val="0.752764055516349"/>
          <c:h val="0.61985302694506"/>
        </c:manualLayout>
      </c:layout>
      <c:pie3DChart>
        <c:varyColors val="1"/>
        <c:ser>
          <c:idx val="0"/>
          <c:order val="0"/>
          <c:spPr>
            <a:solidFill>
              <a:srgbClr val="4f81bd"/>
            </a:solidFill>
            <a:ln>
              <a:noFill/>
            </a:ln>
          </c:spPr>
          <c:explosion val="0"/>
          <c:dPt>
            <c:idx val="0"/>
            <c:spPr>
              <a:solidFill>
                <a:srgbClr val="c0504d"/>
              </a:solidFill>
              <a:ln>
                <a:noFill/>
              </a:ln>
            </c:spPr>
          </c:dPt>
          <c:dPt>
            <c:idx val="1"/>
            <c:spPr>
              <a:solidFill>
                <a:srgbClr val="9bbb59"/>
              </a:solidFill>
              <a:ln>
                <a:noFill/>
              </a:ln>
            </c:spPr>
          </c:dPt>
          <c:dPt>
            <c:idx val="2"/>
            <c:spPr>
              <a:solidFill>
                <a:srgbClr val="4bacc6"/>
              </a:solidFill>
              <a:ln>
                <a:noFill/>
              </a:ln>
            </c:spPr>
          </c:dPt>
          <c:dPt>
            <c:idx val="3"/>
            <c:spPr>
              <a:solidFill>
                <a:srgbClr val="8064a2"/>
              </a:solidFill>
              <a:ln>
                <a:noFill/>
              </a:ln>
            </c:spPr>
          </c:dPt>
          <c:dPt>
            <c:idx val="4"/>
            <c:spPr>
              <a:solidFill>
                <a:srgbClr val="4f81bd"/>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Pt>
            <c:idx val="8"/>
            <c:spPr>
              <a:solidFill>
                <a:srgbClr val="b8cd97"/>
              </a:solidFill>
              <a:ln>
                <a:noFill/>
              </a:ln>
            </c:spPr>
          </c:dPt>
          <c:dPt>
            <c:idx val="9"/>
            <c:spPr>
              <a:solidFill>
                <a:srgbClr val="a99bbd"/>
              </a:solidFill>
              <a:ln>
                <a:noFill/>
              </a:ln>
            </c:spPr>
          </c:dPt>
          <c:dLbls>
            <c:dLbl>
              <c:idx val="0"/>
              <c:dLblPos val="bestFit"/>
              <c:showLegendKey val="0"/>
              <c:showVal val="0"/>
              <c:showCatName val="1"/>
              <c:showSerName val="0"/>
              <c:showPercent val="1"/>
            </c:dLbl>
            <c:dLbl>
              <c:idx val="1"/>
              <c:dLblPos val="bestFit"/>
              <c:showLegendKey val="0"/>
              <c:showVal val="0"/>
              <c:showCatName val="1"/>
              <c:showSerName val="0"/>
              <c:showPercent val="1"/>
            </c:dLbl>
            <c:dLbl>
              <c:idx val="2"/>
              <c:dLblPos val="bestFit"/>
              <c:showLegendKey val="0"/>
              <c:showVal val="0"/>
              <c:showCatName val="1"/>
              <c:showSerName val="0"/>
              <c:showPercent val="1"/>
            </c:dLbl>
            <c:dLbl>
              <c:idx val="3"/>
              <c:dLblPos val="bestFit"/>
              <c:showLegendKey val="0"/>
              <c:showVal val="0"/>
              <c:showCatName val="1"/>
              <c:showSerName val="0"/>
              <c:showPercent val="1"/>
            </c:dLbl>
            <c:dLbl>
              <c:idx val="4"/>
              <c:dLblPos val="bestFit"/>
              <c:showLegendKey val="0"/>
              <c:showVal val="0"/>
              <c:showCatName val="1"/>
              <c:showSerName val="0"/>
              <c:showPercent val="1"/>
            </c:dLbl>
            <c:dLbl>
              <c:idx val="5"/>
              <c:dLblPos val="bestFit"/>
              <c:showLegendKey val="0"/>
              <c:showVal val="0"/>
              <c:showCatName val="1"/>
              <c:showSerName val="0"/>
              <c:showPercent val="1"/>
            </c:dLbl>
            <c:dLbl>
              <c:idx val="6"/>
              <c:dLblPos val="bestFit"/>
              <c:showLegendKey val="0"/>
              <c:showVal val="0"/>
              <c:showCatName val="1"/>
              <c:showSerName val="0"/>
              <c:showPercent val="1"/>
            </c:dLbl>
            <c:dLbl>
              <c:idx val="7"/>
              <c:dLblPos val="bestFit"/>
              <c:showLegendKey val="0"/>
              <c:showVal val="0"/>
              <c:showCatName val="1"/>
              <c:showSerName val="0"/>
              <c:showPercent val="1"/>
            </c:dLbl>
            <c:dLbl>
              <c:idx val="8"/>
              <c:dLblPos val="bestFit"/>
              <c:showLegendKey val="0"/>
              <c:showVal val="0"/>
              <c:showCatName val="1"/>
              <c:showSerName val="0"/>
              <c:showPercent val="1"/>
            </c:dLbl>
            <c:dLbl>
              <c:idx val="9"/>
              <c:dLblPos val="bestFit"/>
              <c:showLegendKey val="0"/>
              <c:showVal val="0"/>
              <c:showCatName val="1"/>
              <c:showSerName val="0"/>
              <c:showPercent val="1"/>
            </c:dLbl>
            <c:dLblPos val="bestFit"/>
            <c:showLegendKey val="0"/>
            <c:showVal val="0"/>
            <c:showCatName val="1"/>
            <c:showSerName val="0"/>
            <c:showPercent val="1"/>
            <c:showLeaderLines val="0"/>
          </c:dLbls>
          <c:cat>
            <c:strRef>
              <c:f>'T.R ESUM ÀMBIT PAES'!$C$36:$C$45</c:f>
              <c:strCache>
                <c:ptCount val="10"/>
                <c:pt idx="0">
                  <c:v>Sector domèstic</c:v>
                </c:pt>
                <c:pt idx="1">
                  <c:v>Sector serveis</c:v>
                </c:pt>
                <c:pt idx="2">
                  <c:v>Sector transport</c:v>
                </c:pt>
                <c:pt idx="3">
                  <c:v>Gestió de residus</c:v>
                </c:pt>
                <c:pt idx="4">
                  <c:v>Cicle de l’aigua</c:v>
                </c:pt>
                <c:pt idx="5">
                  <c:v>Equipaments municipals</c:v>
                </c:pt>
                <c:pt idx="6">
                  <c:v>Enllumenat públic</c:v>
                </c:pt>
                <c:pt idx="7">
                  <c:v>Flota de vehicles pròpia</c:v>
                </c:pt>
                <c:pt idx="8">
                  <c:v>Flota de vehicles externalitzada</c:v>
                </c:pt>
                <c:pt idx="9">
                  <c:v>Bombament</c:v>
                </c:pt>
              </c:strCache>
            </c:strRef>
          </c:cat>
          <c:val>
            <c:numRef>
              <c:f>'T.R ESUM ÀMBIT PAES'!$E$36:$E$45</c:f>
              <c:numCache>
                <c:formatCode>General</c:formatCode>
                <c:ptCount val="10"/>
                <c:pt idx="0">
                  <c:v/>
                </c:pt>
                <c:pt idx="1">
                  <c:v/>
                </c:pt>
                <c:pt idx="2">
                  <c:v/>
                </c:pt>
                <c:pt idx="3">
                  <c:v/>
                </c:pt>
                <c:pt idx="4">
                  <c:v/>
                </c:pt>
                <c:pt idx="5">
                  <c:v/>
                </c:pt>
                <c:pt idx="6">
                  <c:v/>
                </c:pt>
                <c:pt idx="7">
                  <c:v/>
                </c:pt>
                <c:pt idx="8">
                  <c:v/>
                </c:pt>
                <c:pt idx="9">
                  <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16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77670593816715"/>
          <c:y val="0.0763631720086834"/>
          <c:w val="0.57507709338183"/>
          <c:h val="0.720469927212361"/>
        </c:manualLayout>
      </c:layout>
      <c:lineChart>
        <c:grouping val="standard"/>
        <c:ser>
          <c:idx val="0"/>
          <c:order val="0"/>
          <c:tx>
            <c:strRef>
              <c:f>'T. MUNICIPI'!$A$78</c:f>
              <c:strCache>
                <c:ptCount val="1"/>
                <c:pt idx="0">
                  <c:v>Primari</c:v>
                </c:pt>
              </c:strCache>
            </c:strRef>
          </c:tx>
          <c:spPr>
            <a:solidFill>
              <a:srgbClr val="426fa6"/>
            </a:solidFill>
            <a:ln w="19080">
              <a:solidFill>
                <a:srgbClr val="426fa6"/>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MUNICIPI'!$B$78:$G$78</c:f>
              <c:numCache>
                <c:formatCode>General</c:formatCode>
                <c:ptCount val="6"/>
                <c:pt idx="0">
                  <c:v>2522.84740901107</c:v>
                </c:pt>
                <c:pt idx="1">
                  <c:v>2413.73468697184</c:v>
                </c:pt>
                <c:pt idx="2">
                  <c:v>2021.12014407417</c:v>
                </c:pt>
                <c:pt idx="3">
                  <c:v>1986.37314406509</c:v>
                </c:pt>
                <c:pt idx="4">
                  <c:v>1781.73008982398</c:v>
                </c:pt>
                <c:pt idx="5">
                  <c:v>1489.45960991624</c:v>
                </c:pt>
              </c:numCache>
            </c:numRef>
          </c:val>
          <c:smooth val="0"/>
        </c:ser>
        <c:ser>
          <c:idx val="1"/>
          <c:order val="1"/>
          <c:tx>
            <c:strRef>
              <c:f>'T. MUNICIPI'!$A$79</c:f>
              <c:strCache>
                <c:ptCount val="1"/>
                <c:pt idx="0">
                  <c:v>Industrial</c:v>
                </c:pt>
              </c:strCache>
            </c:strRef>
          </c:tx>
          <c:spPr>
            <a:solidFill>
              <a:srgbClr val="aa433f"/>
            </a:solidFill>
            <a:ln w="19080">
              <a:solidFill>
                <a:srgbClr val="aa433f"/>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MUNICIPI'!$B$79:$G$79</c:f>
              <c:numCache>
                <c:formatCode>General</c:formatCode>
                <c:ptCount val="6"/>
                <c:pt idx="0">
                  <c:v>6703.94569460785</c:v>
                </c:pt>
                <c:pt idx="1">
                  <c:v>7433.81950851742</c:v>
                </c:pt>
                <c:pt idx="2">
                  <c:v>7493.65940675562</c:v>
                </c:pt>
                <c:pt idx="3">
                  <c:v>6908.35820287439</c:v>
                </c:pt>
                <c:pt idx="4">
                  <c:v>5539.62565079262</c:v>
                </c:pt>
                <c:pt idx="5">
                  <c:v>4789.79933439371</c:v>
                </c:pt>
              </c:numCache>
            </c:numRef>
          </c:val>
          <c:smooth val="0"/>
        </c:ser>
        <c:ser>
          <c:idx val="2"/>
          <c:order val="2"/>
          <c:tx>
            <c:strRef>
              <c:f>'T. MUNICIPI'!$A$80</c:f>
              <c:strCache>
                <c:ptCount val="1"/>
                <c:pt idx="0">
                  <c:v>Serveis</c:v>
                </c:pt>
              </c:strCache>
            </c:strRef>
          </c:tx>
          <c:spPr>
            <a:solidFill>
              <a:srgbClr val="87a44b"/>
            </a:solidFill>
            <a:ln w="19080">
              <a:solidFill>
                <a:srgbClr val="87a44b"/>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MUNICIPI'!$B$80:$G$80</c:f>
              <c:numCache>
                <c:formatCode>General</c:formatCode>
                <c:ptCount val="6"/>
                <c:pt idx="0">
                  <c:v>27448.431240471</c:v>
                </c:pt>
                <c:pt idx="1">
                  <c:v>30885.8345728018</c:v>
                </c:pt>
                <c:pt idx="2">
                  <c:v>28963.6674236554</c:v>
                </c:pt>
                <c:pt idx="3">
                  <c:v>27331.9312765058</c:v>
                </c:pt>
                <c:pt idx="4">
                  <c:v>28197.3349089287</c:v>
                </c:pt>
                <c:pt idx="5">
                  <c:v>26503.6441502563</c:v>
                </c:pt>
              </c:numCache>
            </c:numRef>
          </c:val>
          <c:smooth val="0"/>
        </c:ser>
        <c:ser>
          <c:idx val="3"/>
          <c:order val="3"/>
          <c:tx>
            <c:strRef>
              <c:f>'T. MUNICIPI'!$A$81</c:f>
              <c:strCache>
                <c:ptCount val="1"/>
                <c:pt idx="0">
                  <c:v>Domèstic</c:v>
                </c:pt>
              </c:strCache>
            </c:strRef>
          </c:tx>
          <c:spPr>
            <a:solidFill>
              <a:srgbClr val="6f568d"/>
            </a:solidFill>
            <a:ln w="19080">
              <a:solidFill>
                <a:srgbClr val="6f568d"/>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MUNICIPI'!$B$81:$G$81</c:f>
              <c:numCache>
                <c:formatCode>General</c:formatCode>
                <c:ptCount val="6"/>
                <c:pt idx="0">
                  <c:v>44543.4785467151</c:v>
                </c:pt>
                <c:pt idx="1">
                  <c:v>49471.8977830614</c:v>
                </c:pt>
                <c:pt idx="2">
                  <c:v>47802.6338104749</c:v>
                </c:pt>
                <c:pt idx="3">
                  <c:v>47363.936222367</c:v>
                </c:pt>
                <c:pt idx="4">
                  <c:v>46531.6593420632</c:v>
                </c:pt>
                <c:pt idx="5">
                  <c:v>49294.2576595082</c:v>
                </c:pt>
              </c:numCache>
            </c:numRef>
          </c:val>
          <c:smooth val="0"/>
        </c:ser>
        <c:ser>
          <c:idx val="4"/>
          <c:order val="4"/>
          <c:tx>
            <c:strRef>
              <c:f>'T. MUNICIPI'!$A$82</c:f>
              <c:strCache>
                <c:ptCount val="1"/>
                <c:pt idx="0">
                  <c:v>Transport</c:v>
                </c:pt>
              </c:strCache>
            </c:strRef>
          </c:tx>
          <c:spPr>
            <a:solidFill>
              <a:srgbClr val="3d97af"/>
            </a:solidFill>
            <a:ln w="19080">
              <a:solidFill>
                <a:srgbClr val="3d97af"/>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MUNICIPI'!$B$82:$G$82</c:f>
              <c:numCache>
                <c:formatCode>General</c:formatCode>
                <c:ptCount val="6"/>
                <c:pt idx="0">
                  <c:v>22624.6883334242</c:v>
                </c:pt>
                <c:pt idx="1">
                  <c:v>23759.3785080101</c:v>
                </c:pt>
                <c:pt idx="2">
                  <c:v>24855.8759331337</c:v>
                </c:pt>
                <c:pt idx="3">
                  <c:v>24367.4342758006</c:v>
                </c:pt>
                <c:pt idx="4">
                  <c:v>23271.611774067</c:v>
                </c:pt>
                <c:pt idx="5">
                  <c:v>22664.6299709449</c:v>
                </c:pt>
              </c:numCache>
            </c:numRef>
          </c:val>
          <c:smooth val="0"/>
        </c:ser>
        <c:ser>
          <c:idx val="5"/>
          <c:order val="5"/>
          <c:tx>
            <c:strRef>
              <c:f>'T. MUNICIPI'!$A$83</c:f>
              <c:strCache>
                <c:ptCount val="1"/>
                <c:pt idx="0">
                  <c:v>Residus</c:v>
                </c:pt>
              </c:strCache>
            </c:strRef>
          </c:tx>
          <c:spPr>
            <a:solidFill>
              <a:srgbClr val="db8238"/>
            </a:solidFill>
            <a:ln w="19080">
              <a:solidFill>
                <a:srgbClr val="db8238"/>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MUNICIPI'!$B$83:$G$83</c:f>
              <c:numCache>
                <c:formatCode>General</c:formatCode>
                <c:ptCount val="6"/>
                <c:pt idx="0">
                  <c:v>8729.33717074606</c:v>
                </c:pt>
                <c:pt idx="1">
                  <c:v>9238.7148318758</c:v>
                </c:pt>
                <c:pt idx="2">
                  <c:v>10218.822147659</c:v>
                </c:pt>
                <c:pt idx="3">
                  <c:v>8981.01779429749</c:v>
                </c:pt>
                <c:pt idx="4">
                  <c:v>8007.43090743706</c:v>
                </c:pt>
                <c:pt idx="5">
                  <c:v>8033.92078866066</c:v>
                </c:pt>
              </c:numCache>
            </c:numRef>
          </c:val>
          <c:smooth val="0"/>
        </c:ser>
        <c:ser>
          <c:idx val="6"/>
          <c:order val="6"/>
          <c:tx>
            <c:strRef>
              <c:f>'T. MUNICIPI'!$A$84</c:f>
              <c:strCache>
                <c:ptCount val="1"/>
                <c:pt idx="0">
                  <c:v>Aigua</c:v>
                </c:pt>
              </c:strCache>
            </c:strRef>
          </c:tx>
          <c:spPr>
            <a:solidFill>
              <a:srgbClr val="8ea5ca"/>
            </a:solidFill>
            <a:ln w="19080">
              <a:solidFill>
                <a:srgbClr val="8ea5ca"/>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MUNICIPI'!$B$84:$G$84</c:f>
              <c:numCache>
                <c:formatCode>General</c:formatCode>
                <c:ptCount val="6"/>
                <c:pt idx="0">
                  <c:v>5059.356359382</c:v>
                </c:pt>
                <c:pt idx="1">
                  <c:v>6064.308038664</c:v>
                </c:pt>
                <c:pt idx="2">
                  <c:v>5559.329544048</c:v>
                </c:pt>
                <c:pt idx="3">
                  <c:v>5878.39124928</c:v>
                </c:pt>
                <c:pt idx="4">
                  <c:v>6211.316544048</c:v>
                </c:pt>
                <c:pt idx="5">
                  <c:v>3867.280932867</c:v>
                </c:pt>
              </c:numCache>
            </c:numRef>
          </c:val>
          <c:smooth val="0"/>
        </c:ser>
        <c:hiLowLines>
          <c:spPr>
            <a:ln>
              <a:noFill/>
            </a:ln>
          </c:spPr>
        </c:hiLowLines>
        <c:marker val="0"/>
        <c:axId val="49688882"/>
        <c:axId val="37340924"/>
      </c:lineChart>
      <c:catAx>
        <c:axId val="49688882"/>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37340924"/>
        <c:crosses val="autoZero"/>
        <c:auto val="1"/>
        <c:lblAlgn val="ctr"/>
        <c:lblOffset val="100"/>
      </c:catAx>
      <c:valAx>
        <c:axId val="37340924"/>
        <c:scaling>
          <c:orientation val="minMax"/>
        </c:scaling>
        <c:delete val="0"/>
        <c:axPos val="l"/>
        <c:majorGridlines>
          <c:spPr>
            <a:ln w="648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defRPr>
                </a:pPr>
                <a:r>
                  <a:rPr b="1" sz="1400" spc="-1" strike="noStrike">
                    <a:solidFill>
                      <a:srgbClr val="000000"/>
                    </a:solidFill>
                    <a:uFill>
                      <a:solidFill>
                        <a:srgbClr val="ffffff"/>
                      </a:solidFill>
                    </a:uFill>
                    <a:latin typeface="Calibri"/>
                  </a:rPr>
                  <a:t>t CO2 municipi</a:t>
                </a:r>
              </a:p>
            </c:rich>
          </c:tx>
          <c:layout>
            <c:manualLayout>
              <c:xMode val="edge"/>
              <c:yMode val="edge"/>
              <c:x val="0.00529769905906539"/>
              <c:y val="0.253990550376708"/>
            </c:manualLayout>
          </c:layout>
          <c:overlay val="0"/>
        </c:title>
        <c:numFmt formatCode="#,##0" sourceLinked="0"/>
        <c:majorTickMark val="none"/>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49688882"/>
        <c:crosses val="autoZero"/>
        <c:crossBetween val="midCat"/>
      </c:valAx>
      <c:spPr>
        <a:solidFill>
          <a:srgbClr val="ffffff"/>
        </a:solidFill>
        <a:ln>
          <a:noFill/>
        </a:ln>
      </c:spPr>
    </c:plotArea>
    <c:legend>
      <c:layout>
        <c:manualLayout>
          <c:xMode val="edge"/>
          <c:yMode val="edge"/>
          <c:x val="0.748161619356369"/>
          <c:y val="0.0403524454092709"/>
        </c:manualLayout>
      </c:layout>
      <c:spPr>
        <a:noFill/>
        <a:ln>
          <a:noFill/>
        </a:ln>
      </c:spPr>
    </c:legend>
    <c:plotVisOnly val="1"/>
    <c:dispBlanksAs val="gap"/>
  </c:chart>
  <c:spPr>
    <a:solidFill>
      <a:srgbClr val="ffffff"/>
    </a:solidFill>
    <a:ln>
      <a:noFill/>
    </a:ln>
  </c:spPr>
</c:chartSpace>
</file>

<file path=xl/charts/chart16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77777777777778"/>
          <c:y val="0.0505735140771637"/>
          <c:w val="0.586697965571205"/>
          <c:h val="0.797054223149114"/>
        </c:manualLayout>
      </c:layout>
      <c:lineChart>
        <c:grouping val="standard"/>
        <c:ser>
          <c:idx val="0"/>
          <c:order val="0"/>
          <c:tx>
            <c:strRef>
              <c:f>'T. MUNICIPI'!$A$46</c:f>
              <c:strCache>
                <c:ptCount val="1"/>
                <c:pt idx="0">
                  <c:v>EE</c:v>
                </c:pt>
              </c:strCache>
            </c:strRef>
          </c:tx>
          <c:spPr>
            <a:solidFill>
              <a:srgbClr val="be4b48"/>
            </a:solidFill>
            <a:ln w="19080">
              <a:solidFill>
                <a:srgbClr val="be4b48"/>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MUNICIPI'!$B$46:$G$46</c:f>
              <c:numCache>
                <c:formatCode>General</c:formatCode>
                <c:ptCount val="6"/>
                <c:pt idx="0">
                  <c:v>65500.8188</c:v>
                </c:pt>
                <c:pt idx="1">
                  <c:v>72984.4896</c:v>
                </c:pt>
                <c:pt idx="2">
                  <c:v>67234.9524</c:v>
                </c:pt>
                <c:pt idx="3">
                  <c:v>67283.6208</c:v>
                </c:pt>
                <c:pt idx="4">
                  <c:v>68810.5935</c:v>
                </c:pt>
                <c:pt idx="5">
                  <c:v>70093.8544581</c:v>
                </c:pt>
              </c:numCache>
            </c:numRef>
          </c:val>
          <c:smooth val="0"/>
        </c:ser>
        <c:ser>
          <c:idx val="1"/>
          <c:order val="1"/>
          <c:tx>
            <c:strRef>
              <c:f>'T. MUNICIPI'!$A$47</c:f>
              <c:strCache>
                <c:ptCount val="1"/>
                <c:pt idx="0">
                  <c:v>GLP</c:v>
                </c:pt>
              </c:strCache>
            </c:strRef>
          </c:tx>
          <c:spPr>
            <a:solidFill>
              <a:srgbClr val="7030a0"/>
            </a:solidFill>
            <a:ln w="19080">
              <a:solidFill>
                <a:srgbClr val="7030a0"/>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MUNICIPI'!$B$47:$G$47</c:f>
              <c:numCache>
                <c:formatCode>General</c:formatCode>
                <c:ptCount val="6"/>
                <c:pt idx="0">
                  <c:v>2914.37496356828</c:v>
                </c:pt>
                <c:pt idx="1">
                  <c:v>2749.4212255173</c:v>
                </c:pt>
                <c:pt idx="2">
                  <c:v>2570.11875803834</c:v>
                </c:pt>
                <c:pt idx="3">
                  <c:v>2497.0212880217</c:v>
                </c:pt>
                <c:pt idx="4">
                  <c:v>2342.84128533426</c:v>
                </c:pt>
                <c:pt idx="5">
                  <c:v>2155.98165549177</c:v>
                </c:pt>
              </c:numCache>
            </c:numRef>
          </c:val>
          <c:smooth val="0"/>
        </c:ser>
        <c:ser>
          <c:idx val="2"/>
          <c:order val="2"/>
          <c:tx>
            <c:strRef>
              <c:f>'T. MUNICIPI'!$A$48</c:f>
              <c:strCache>
                <c:ptCount val="1"/>
                <c:pt idx="0">
                  <c:v>Gasoil</c:v>
                </c:pt>
              </c:strCache>
            </c:strRef>
          </c:tx>
          <c:spPr>
            <a:solidFill>
              <a:srgbClr val="4bacc6"/>
            </a:solidFill>
            <a:ln w="19080">
              <a:solidFill>
                <a:srgbClr val="4bacc6"/>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MUNICIPI'!$B$48:$G$48</c:f>
              <c:numCache>
                <c:formatCode>General</c:formatCode>
                <c:ptCount val="6"/>
                <c:pt idx="0">
                  <c:v>30869.2682278414</c:v>
                </c:pt>
                <c:pt idx="1">
                  <c:v>34636.8230651947</c:v>
                </c:pt>
                <c:pt idx="2">
                  <c:v>37298.8384259717</c:v>
                </c:pt>
                <c:pt idx="3">
                  <c:v>34760.5028623467</c:v>
                </c:pt>
                <c:pt idx="4">
                  <c:v>32415.3802856088</c:v>
                </c:pt>
                <c:pt idx="5">
                  <c:v>28684.0599147429</c:v>
                </c:pt>
              </c:numCache>
            </c:numRef>
          </c:val>
          <c:smooth val="0"/>
        </c:ser>
        <c:ser>
          <c:idx val="3"/>
          <c:order val="3"/>
          <c:tx>
            <c:strRef>
              <c:f>'T. MUNICIPI'!$A$49</c:f>
              <c:strCache>
                <c:ptCount val="1"/>
                <c:pt idx="0">
                  <c:v>Gasolina</c:v>
                </c:pt>
              </c:strCache>
            </c:strRef>
          </c:tx>
          <c:spPr>
            <a:solidFill>
              <a:srgbClr val="4a7ebb"/>
            </a:solidFill>
            <a:ln w="19080">
              <a:solidFill>
                <a:srgbClr val="4a7ebb"/>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MUNICIPI'!$B$49:$G$49</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mooth val="0"/>
        </c:ser>
        <c:ser>
          <c:idx val="4"/>
          <c:order val="4"/>
          <c:tx>
            <c:strRef>
              <c:f>'T. MUNICIPI'!$A$50</c:f>
              <c:strCache>
                <c:ptCount val="1"/>
                <c:pt idx="0">
                  <c:v>Fueloil</c:v>
                </c:pt>
              </c:strCache>
            </c:strRef>
          </c:tx>
          <c:spPr>
            <a:solidFill>
              <a:srgbClr val="f59240"/>
            </a:solidFill>
            <a:ln w="19080">
              <a:solidFill>
                <a:srgbClr val="f59240"/>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MUNICIPI'!$B$50:$G$50</c:f>
              <c:numCache>
                <c:formatCode>General</c:formatCode>
                <c:ptCount val="6"/>
                <c:pt idx="0">
                  <c:v>943.914562292007</c:v>
                </c:pt>
                <c:pt idx="1">
                  <c:v>841.263894195941</c:v>
                </c:pt>
                <c:pt idx="2">
                  <c:v>828.435551819952</c:v>
                </c:pt>
                <c:pt idx="3">
                  <c:v>940.422811702443</c:v>
                </c:pt>
                <c:pt idx="4">
                  <c:v>0</c:v>
                </c:pt>
                <c:pt idx="5">
                  <c:v>0</c:v>
                </c:pt>
              </c:numCache>
            </c:numRef>
          </c:val>
          <c:smooth val="0"/>
        </c:ser>
        <c:hiLowLines>
          <c:spPr>
            <a:ln>
              <a:noFill/>
            </a:ln>
          </c:spPr>
        </c:hiLowLines>
        <c:marker val="0"/>
        <c:axId val="51622093"/>
        <c:axId val="17191421"/>
      </c:lineChart>
      <c:catAx>
        <c:axId val="51622093"/>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ea typeface="Calibri"/>
              </a:defRPr>
            </a:pPr>
          </a:p>
        </c:txPr>
        <c:crossAx val="17191421"/>
        <c:crosses val="autoZero"/>
        <c:auto val="1"/>
        <c:lblAlgn val="ctr"/>
        <c:lblOffset val="100"/>
      </c:catAx>
      <c:valAx>
        <c:axId val="17191421"/>
        <c:scaling>
          <c:orientation val="minMax"/>
        </c:scaling>
        <c:delete val="0"/>
        <c:axPos val="l"/>
        <c:majorGridlines>
          <c:spPr>
            <a:ln w="936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ea typeface="Arial"/>
                  </a:defRPr>
                </a:pPr>
                <a:r>
                  <a:rPr b="1" sz="1400" spc="-1" strike="noStrike">
                    <a:solidFill>
                      <a:srgbClr val="000000"/>
                    </a:solidFill>
                    <a:uFill>
                      <a:solidFill>
                        <a:srgbClr val="ffffff"/>
                      </a:solidFill>
                    </a:uFill>
                    <a:latin typeface="Calibri"/>
                    <a:ea typeface="Arial"/>
                  </a:rPr>
                  <a:t>t CO2 municipi</a:t>
                </a:r>
              </a:p>
            </c:rich>
          </c:tx>
          <c:layout>
            <c:manualLayout>
              <c:xMode val="edge"/>
              <c:yMode val="edge"/>
              <c:x val="0.0136150234741784"/>
              <c:y val="0.239572471324296"/>
            </c:manualLayout>
          </c:layout>
          <c:overlay val="0"/>
        </c:title>
        <c:numFmt formatCode="#,##0" sourceLinked="0"/>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ea typeface="Calibri"/>
              </a:defRPr>
            </a:pPr>
          </a:p>
        </c:txPr>
        <c:crossAx val="51622093"/>
        <c:crosses val="autoZero"/>
        <c:crossBetween val="midCat"/>
      </c:valAx>
      <c:spPr>
        <a:solidFill>
          <a:srgbClr val="ffffff"/>
        </a:solidFill>
        <a:ln>
          <a:noFill/>
        </a:ln>
      </c:spPr>
    </c:plotArea>
    <c:legend>
      <c:layout>
        <c:manualLayout>
          <c:xMode val="edge"/>
          <c:yMode val="edge"/>
          <c:x val="0.787480438184663"/>
          <c:y val="0.197732012513034"/>
        </c:manualLayout>
      </c:layout>
      <c:spPr>
        <a:noFill/>
        <a:ln>
          <a:noFill/>
        </a:ln>
      </c:spPr>
    </c:legend>
    <c:plotVisOnly val="1"/>
    <c:dispBlanksAs val="gap"/>
  </c:chart>
  <c:spPr>
    <a:solidFill>
      <a:srgbClr val="ffffff"/>
    </a:solidFill>
    <a:ln>
      <a:noFill/>
    </a:ln>
  </c:spPr>
</c:chartSpace>
</file>

<file path=xl/charts/chart16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MUNICIPI'!$A$46:$A$50</c:f>
              <c:strCache>
                <c:ptCount val="5"/>
                <c:pt idx="0">
                  <c:v>EE</c:v>
                </c:pt>
                <c:pt idx="1">
                  <c:v>GLP</c:v>
                </c:pt>
                <c:pt idx="2">
                  <c:v>Gasoil</c:v>
                </c:pt>
                <c:pt idx="3">
                  <c:v>Gasolina</c:v>
                </c:pt>
                <c:pt idx="4">
                  <c:v>Fueloil</c:v>
                </c:pt>
              </c:strCache>
            </c:strRef>
          </c:cat>
          <c:val>
            <c:numRef>
              <c:f>'T. MUNICIPI'!$B$46:$B$50</c:f>
              <c:numCache>
                <c:formatCode>General</c:formatCode>
                <c:ptCount val="5"/>
                <c:pt idx="0">
                  <c:v>65500.8188</c:v>
                </c:pt>
                <c:pt idx="1">
                  <c:v>2914.37496356828</c:v>
                </c:pt>
                <c:pt idx="2">
                  <c:v>30869.2682278414</c:v>
                </c:pt>
                <c:pt idx="3">
                  <c:v>8674.37102990949</c:v>
                </c:pt>
                <c:pt idx="4">
                  <c:v>943.914562292007</c:v>
                </c:pt>
              </c:numCache>
            </c:numRef>
          </c:val>
        </c:ser>
      </c:pie3DChart>
      <c:spPr>
        <a:solidFill>
          <a:srgbClr val="d9d9d9"/>
        </a:solidFill>
        <a:ln>
          <a:noFill/>
        </a:ln>
      </c:spPr>
    </c:plotArea>
    <c:legend>
      <c:layout>
        <c:manualLayout>
          <c:xMode val="edge"/>
          <c:yMode val="edge"/>
          <c:x val="0.744647219428079"/>
          <c:y val="0.269492293744334"/>
        </c:manualLayout>
      </c:layout>
      <c:spPr>
        <a:noFill/>
        <a:ln>
          <a:noFill/>
        </a:ln>
      </c:spPr>
    </c:legend>
    <c:plotVisOnly val="1"/>
    <c:dispBlanksAs val="zero"/>
  </c:chart>
  <c:spPr>
    <a:solidFill>
      <a:srgbClr val="ffffff"/>
    </a:solidFill>
    <a:ln>
      <a:noFill/>
    </a:ln>
  </c:spPr>
</c:chartSpace>
</file>

<file path=xl/charts/chart16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 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MUNICIPI'!$A$46:$A$50</c:f>
              <c:strCache>
                <c:ptCount val="5"/>
                <c:pt idx="0">
                  <c:v>EE</c:v>
                </c:pt>
                <c:pt idx="1">
                  <c:v>GLP</c:v>
                </c:pt>
                <c:pt idx="2">
                  <c:v>Gasoil</c:v>
                </c:pt>
                <c:pt idx="3">
                  <c:v>Gasolina</c:v>
                </c:pt>
                <c:pt idx="4">
                  <c:v>Fueloil</c:v>
                </c:pt>
              </c:strCache>
            </c:strRef>
          </c:cat>
          <c:val>
            <c:numRef>
              <c:f>'T. MUNICIPI'!$F$46:$F$50</c:f>
              <c:numCache>
                <c:formatCode>General</c:formatCode>
                <c:ptCount val="5"/>
                <c:pt idx="0">
                  <c:v>68810.5935</c:v>
                </c:pt>
                <c:pt idx="1">
                  <c:v>2342.84128533426</c:v>
                </c:pt>
                <c:pt idx="2">
                  <c:v>32415.3802856088</c:v>
                </c:pt>
                <c:pt idx="3">
                  <c:v>7964.46323878046</c:v>
                </c:pt>
                <c:pt idx="4">
                  <c:v>0</c:v>
                </c:pt>
              </c:numCache>
            </c:numRef>
          </c:val>
        </c:ser>
      </c:pie3DChart>
      <c:spPr>
        <a:solidFill>
          <a:srgbClr val="d9d9d9"/>
        </a:solidFill>
        <a:ln>
          <a:noFill/>
        </a:ln>
      </c:spPr>
    </c:plotArea>
    <c:legend>
      <c:layout>
        <c:manualLayout>
          <c:xMode val="edge"/>
          <c:yMode val="edge"/>
          <c:x val="0.757990867579909"/>
          <c:y val="0.269492293744334"/>
        </c:manualLayout>
      </c:layout>
      <c:spPr>
        <a:noFill/>
        <a:ln>
          <a:noFill/>
        </a:ln>
      </c:spPr>
    </c:legend>
    <c:plotVisOnly val="1"/>
    <c:dispBlanksAs val="zero"/>
  </c:chart>
  <c:spPr>
    <a:solidFill>
      <a:srgbClr val="ffffff"/>
    </a:solidFill>
    <a:ln>
      <a:noFill/>
    </a:ln>
  </c:spPr>
</c:chartSpace>
</file>

<file path=xl/charts/chart16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57566179375741"/>
          <c:y val="0.0150174861139683"/>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33386013433426"/>
          <c:y val="0.344579304669821"/>
          <c:w val="0.55946266297906"/>
          <c:h val="0.624151409175067"/>
        </c:manualLayout>
      </c:layout>
      <c:pie3DChart>
        <c:varyColors val="1"/>
        <c:ser>
          <c:idx val="0"/>
          <c:order val="0"/>
          <c:spPr>
            <a:solidFill>
              <a:srgbClr val="4f81bd"/>
            </a:solidFill>
            <a:ln>
              <a:noFill/>
            </a:ln>
          </c:spPr>
          <c:explosion val="0"/>
          <c:dPt>
            <c:idx val="0"/>
            <c:spPr>
              <a:solidFill>
                <a:srgbClr val="4672a8"/>
              </a:solidFill>
              <a:ln>
                <a:noFill/>
              </a:ln>
            </c:spPr>
          </c:dPt>
          <c:dPt>
            <c:idx val="1"/>
            <c:spPr>
              <a:solidFill>
                <a:srgbClr val="ab4744"/>
              </a:solidFill>
              <a:ln>
                <a:noFill/>
              </a:ln>
            </c:spPr>
          </c:dPt>
          <c:dPt>
            <c:idx val="2"/>
            <c:spPr>
              <a:solidFill>
                <a:srgbClr val="8aa64f"/>
              </a:solidFill>
              <a:ln>
                <a:noFill/>
              </a:ln>
            </c:spPr>
          </c:dPt>
          <c:dPt>
            <c:idx val="3"/>
            <c:spPr>
              <a:solidFill>
                <a:srgbClr val="725990"/>
              </a:solidFill>
              <a:ln>
                <a:noFill/>
              </a:ln>
            </c:spPr>
          </c:dPt>
          <c:dPt>
            <c:idx val="4"/>
            <c:spPr>
              <a:solidFill>
                <a:srgbClr val="4299b0"/>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
              <c:idx val="6"/>
              <c:dLblPos val="bestFit"/>
              <c:showLegendKey val="0"/>
              <c:showVal val="0"/>
              <c:showCatName val="0"/>
              <c:showSerName val="0"/>
              <c:showPercent val="1"/>
            </c:dLbl>
            <c:dLbl>
              <c:idx val="7"/>
              <c:dLblPos val="bestFit"/>
              <c:showLegendKey val="0"/>
              <c:showVal val="0"/>
              <c:showCatName val="0"/>
              <c:showSerName val="0"/>
              <c:showPercent val="1"/>
            </c:dLbl>
            <c:dLblPos val="bestFit"/>
            <c:showLegendKey val="0"/>
            <c:showVal val="0"/>
            <c:showCatName val="0"/>
            <c:showSerName val="0"/>
            <c:showPercent val="1"/>
            <c:showLeaderLines val="0"/>
          </c:dLbls>
          <c:cat>
            <c:strRef>
              <c:f>'T. MUNICIPI'!$A$78:$A$85</c:f>
              <c:strCache>
                <c:ptCount val="8"/>
                <c:pt idx="0">
                  <c:v>Primari</c:v>
                </c:pt>
                <c:pt idx="1">
                  <c:v>Industrial</c:v>
                </c:pt>
                <c:pt idx="2">
                  <c:v>Serveis</c:v>
                </c:pt>
                <c:pt idx="3">
                  <c:v>Domèstic</c:v>
                </c:pt>
                <c:pt idx="4">
                  <c:v>Transport</c:v>
                </c:pt>
                <c:pt idx="5">
                  <c:v>Residus</c:v>
                </c:pt>
                <c:pt idx="6">
                  <c:v>Aigua</c:v>
                </c:pt>
                <c:pt idx="7">
                  <c:v>Prod. energia</c:v>
                </c:pt>
              </c:strCache>
            </c:strRef>
          </c:cat>
          <c:val>
            <c:numRef>
              <c:f>'T. MUNICIPI'!$B$78:$B$85</c:f>
              <c:numCache>
                <c:formatCode>General</c:formatCode>
                <c:ptCount val="8"/>
                <c:pt idx="0">
                  <c:v>2522.84740901107</c:v>
                </c:pt>
                <c:pt idx="1">
                  <c:v>6703.94569460785</c:v>
                </c:pt>
                <c:pt idx="2">
                  <c:v>27448.431240471</c:v>
                </c:pt>
                <c:pt idx="3">
                  <c:v>44543.4785467151</c:v>
                </c:pt>
                <c:pt idx="4">
                  <c:v>22624.6883334242</c:v>
                </c:pt>
                <c:pt idx="5">
                  <c:v>8729.33717074606</c:v>
                </c:pt>
                <c:pt idx="6">
                  <c:v>5059.356359382</c:v>
                </c:pt>
                <c:pt idx="7">
                  <c:v>-9.982154</c:v>
                </c:pt>
              </c:numCache>
            </c:numRef>
          </c:val>
        </c:ser>
      </c:pie3DChart>
      <c:spPr>
        <a:solidFill>
          <a:srgbClr val="d9d9d9"/>
        </a:solidFill>
        <a:ln>
          <a:noFill/>
        </a:ln>
      </c:spPr>
    </c:plotArea>
    <c:legend>
      <c:layout>
        <c:manualLayout>
          <c:xMode val="edge"/>
          <c:yMode val="edge"/>
          <c:x val="0.705649940734887"/>
          <c:y val="0.0139888911746554"/>
        </c:manualLayout>
      </c:layout>
      <c:spPr>
        <a:noFill/>
        <a:ln>
          <a:noFill/>
        </a:ln>
      </c:spPr>
    </c:legend>
    <c:plotVisOnly val="1"/>
    <c:dispBlanksAs val="zero"/>
  </c:chart>
  <c:spPr>
    <a:solidFill>
      <a:srgbClr val="ffffff"/>
    </a:solidFill>
    <a:ln>
      <a:noFill/>
    </a:ln>
  </c:spPr>
</c:chartSpace>
</file>

<file path=xl/charts/chart16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7581222649516"/>
          <c:y val="0.0222176506891586"/>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623259514653229"/>
          <c:y val="0.329973256531578"/>
          <c:w val="0.550457499005437"/>
          <c:h val="0.616951244599877"/>
        </c:manualLayout>
      </c:layout>
      <c:pie3DChart>
        <c:varyColors val="1"/>
        <c:ser>
          <c:idx val="0"/>
          <c:order val="0"/>
          <c:spPr>
            <a:solidFill>
              <a:srgbClr val="4f81bd"/>
            </a:solidFill>
            <a:ln>
              <a:noFill/>
            </a:ln>
          </c:spPr>
          <c:explosion val="0"/>
          <c:dPt>
            <c:idx val="0"/>
            <c:spPr>
              <a:solidFill>
                <a:srgbClr val="4672a8"/>
              </a:solidFill>
              <a:ln>
                <a:noFill/>
              </a:ln>
            </c:spPr>
          </c:dPt>
          <c:dPt>
            <c:idx val="1"/>
            <c:spPr>
              <a:solidFill>
                <a:srgbClr val="ab4744"/>
              </a:solidFill>
              <a:ln>
                <a:noFill/>
              </a:ln>
            </c:spPr>
          </c:dPt>
          <c:dPt>
            <c:idx val="2"/>
            <c:spPr>
              <a:solidFill>
                <a:srgbClr val="8aa64f"/>
              </a:solidFill>
              <a:ln>
                <a:noFill/>
              </a:ln>
            </c:spPr>
          </c:dPt>
          <c:dPt>
            <c:idx val="3"/>
            <c:spPr>
              <a:solidFill>
                <a:srgbClr val="725990"/>
              </a:solidFill>
              <a:ln>
                <a:noFill/>
              </a:ln>
            </c:spPr>
          </c:dPt>
          <c:dPt>
            <c:idx val="4"/>
            <c:spPr>
              <a:solidFill>
                <a:srgbClr val="4299b0"/>
              </a:solidFill>
              <a:ln>
                <a:noFill/>
              </a:ln>
            </c:spPr>
          </c:dPt>
          <c:dPt>
            <c:idx val="5"/>
            <c:spPr>
              <a:solidFill>
                <a:srgbClr val="dc853e"/>
              </a:solidFill>
              <a:ln>
                <a:noFill/>
              </a:ln>
            </c:spPr>
          </c:dPt>
          <c:dPt>
            <c:idx val="6"/>
            <c:spPr>
              <a:solidFill>
                <a:srgbClr val="93a9ce"/>
              </a:solidFill>
              <a:ln>
                <a:noFill/>
              </a:ln>
            </c:spPr>
          </c:dPt>
          <c:dPt>
            <c:idx val="7"/>
            <c:spPr>
              <a:solidFill>
                <a:srgbClr val="d09493"/>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
              <c:idx val="6"/>
              <c:dLblPos val="bestFit"/>
              <c:showLegendKey val="0"/>
              <c:showVal val="0"/>
              <c:showCatName val="0"/>
              <c:showSerName val="0"/>
              <c:showPercent val="1"/>
            </c:dLbl>
            <c:dLbl>
              <c:idx val="7"/>
              <c:dLblPos val="bestFit"/>
              <c:showLegendKey val="0"/>
              <c:showVal val="0"/>
              <c:showCatName val="0"/>
              <c:showSerName val="0"/>
              <c:showPercent val="1"/>
            </c:dLbl>
            <c:dLblPos val="bestFit"/>
            <c:showLegendKey val="0"/>
            <c:showVal val="0"/>
            <c:showCatName val="0"/>
            <c:showSerName val="0"/>
            <c:showPercent val="1"/>
            <c:showLeaderLines val="0"/>
          </c:dLbls>
          <c:cat>
            <c:strRef>
              <c:f>'T. MUNICIPI'!$A$78:$A$85</c:f>
              <c:strCache>
                <c:ptCount val="8"/>
                <c:pt idx="0">
                  <c:v>Primari</c:v>
                </c:pt>
                <c:pt idx="1">
                  <c:v>Industrial</c:v>
                </c:pt>
                <c:pt idx="2">
                  <c:v>Serveis</c:v>
                </c:pt>
                <c:pt idx="3">
                  <c:v>Domèstic</c:v>
                </c:pt>
                <c:pt idx="4">
                  <c:v>Transport</c:v>
                </c:pt>
                <c:pt idx="5">
                  <c:v>Residus</c:v>
                </c:pt>
                <c:pt idx="6">
                  <c:v>Aigua</c:v>
                </c:pt>
                <c:pt idx="7">
                  <c:v>Prod. energia</c:v>
                </c:pt>
              </c:strCache>
            </c:strRef>
          </c:cat>
          <c:val>
            <c:numRef>
              <c:f>'T. MUNICIPI'!$F$78:$F$85</c:f>
              <c:numCache>
                <c:formatCode>General</c:formatCode>
                <c:ptCount val="8"/>
                <c:pt idx="0">
                  <c:v>1781.73008982398</c:v>
                </c:pt>
                <c:pt idx="1">
                  <c:v>5539.62565079262</c:v>
                </c:pt>
                <c:pt idx="2">
                  <c:v>28197.3349089287</c:v>
                </c:pt>
                <c:pt idx="3">
                  <c:v>46531.6593420632</c:v>
                </c:pt>
                <c:pt idx="4">
                  <c:v>23271.611774067</c:v>
                </c:pt>
                <c:pt idx="5">
                  <c:v>8007.43090743706</c:v>
                </c:pt>
                <c:pt idx="6">
                  <c:v>6211.316544048</c:v>
                </c:pt>
                <c:pt idx="7">
                  <c:v>-66.262053</c:v>
                </c:pt>
              </c:numCache>
            </c:numRef>
          </c:val>
        </c:ser>
      </c:pie3DChart>
      <c:spPr>
        <a:solidFill>
          <a:srgbClr val="d9d9d9"/>
        </a:solidFill>
        <a:ln>
          <a:noFill/>
        </a:ln>
      </c:spPr>
    </c:plotArea>
    <c:legend>
      <c:layout>
        <c:manualLayout>
          <c:xMode val="edge"/>
          <c:yMode val="edge"/>
          <c:x val="0.710515846704681"/>
          <c:y val="0.0236576836041967"/>
        </c:manualLayout>
      </c:layout>
      <c:spPr>
        <a:noFill/>
        <a:ln>
          <a:noFill/>
        </a:ln>
      </c:spPr>
    </c:legend>
    <c:plotVisOnly val="1"/>
    <c:dispBlanksAs val="zero"/>
  </c:chart>
  <c:spPr>
    <a:solidFill>
      <a:srgbClr val="ffffff"/>
    </a:solidFill>
    <a:ln>
      <a:noFill/>
    </a:ln>
  </c:spPr>
</c:chartSpace>
</file>

<file path=xl/charts/chart16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050719895288"/>
          <c:y val="0.0665479939750787"/>
          <c:w val="0.582787958115183"/>
          <c:h val="0.755579898671779"/>
        </c:manualLayout>
      </c:layout>
      <c:lineChart>
        <c:grouping val="standard"/>
        <c:ser>
          <c:idx val="0"/>
          <c:order val="0"/>
          <c:tx>
            <c:strRef>
              <c:f>'T. PAES'!$A$37</c:f>
              <c:strCache>
                <c:ptCount val="1"/>
                <c:pt idx="0">
                  <c:v>EE</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PAES'!$B$37:$G$37</c:f>
              <c:numCache>
                <c:formatCode>General</c:formatCode>
                <c:ptCount val="6"/>
                <c:pt idx="0">
                  <c:v>61471.4548355284</c:v>
                </c:pt>
                <c:pt idx="1">
                  <c:v>68533.7254366151</c:v>
                </c:pt>
                <c:pt idx="2">
                  <c:v>63217.3843373664</c:v>
                </c:pt>
                <c:pt idx="3">
                  <c:v>63552.0903173024</c:v>
                </c:pt>
                <c:pt idx="4">
                  <c:v>65254.5976912725</c:v>
                </c:pt>
                <c:pt idx="5">
                  <c:v>66858.8104937447</c:v>
                </c:pt>
              </c:numCache>
            </c:numRef>
          </c:val>
          <c:smooth val="0"/>
        </c:ser>
        <c:ser>
          <c:idx val="1"/>
          <c:order val="1"/>
          <c:tx>
            <c:strRef>
              <c:f>'T. PAES'!$A$38</c:f>
              <c:strCache>
                <c:ptCount val="1"/>
                <c:pt idx="0">
                  <c:v/>
                </c:pt>
              </c:strCache>
            </c:strRef>
          </c:tx>
          <c:spPr>
            <a:solidFill>
              <a:srgbClr val="be4b48"/>
            </a:solidFill>
            <a:ln w="28440">
              <a:solidFill>
                <a:srgbClr val="be4b48"/>
              </a:solidFill>
              <a:round/>
            </a:ln>
          </c:spPr>
          <c:marker>
            <c:symbol val="none"/>
          </c:marker>
          <c:cat>
            <c:strRef>
              <c:f>'T. PAES'!$B$36:$G$36</c:f>
              <c:strCache>
                <c:ptCount val="6"/>
                <c:pt idx="0">
                  <c:v>2005</c:v>
                </c:pt>
                <c:pt idx="1">
                  <c:v>2006</c:v>
                </c:pt>
                <c:pt idx="2">
                  <c:v>2007</c:v>
                </c:pt>
                <c:pt idx="3">
                  <c:v>2008</c:v>
                </c:pt>
                <c:pt idx="4">
                  <c:v>2009</c:v>
                </c:pt>
                <c:pt idx="5">
                  <c:v>2010</c:v>
                </c:pt>
              </c:strCache>
            </c:strRef>
          </c:cat>
          <c:val>
            <c:numRef>
              <c:f>'T. PAES'!$B$38:$G$38</c:f>
              <c:numCache>
                <c:formatCode>General</c:formatCode>
                <c:ptCount val="0"/>
              </c:numCache>
            </c:numRef>
          </c:val>
          <c:smooth val="0"/>
        </c:ser>
        <c:ser>
          <c:idx val="2"/>
          <c:order val="2"/>
          <c:tx>
            <c:strRef>
              <c:f>'T. PAES'!$A$39</c:f>
              <c:strCache>
                <c:ptCount val="1"/>
                <c:pt idx="0">
                  <c:v>GLP</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PAES'!$B$39:$G$39</c:f>
              <c:numCache>
                <c:formatCode>General</c:formatCode>
                <c:ptCount val="6"/>
                <c:pt idx="0">
                  <c:v>2782.55871079912</c:v>
                </c:pt>
                <c:pt idx="1">
                  <c:v>2625.38608421167</c:v>
                </c:pt>
                <c:pt idx="2">
                  <c:v>2450.48068695622</c:v>
                </c:pt>
                <c:pt idx="3">
                  <c:v>2381.0588960954</c:v>
                </c:pt>
                <c:pt idx="4">
                  <c:v>2232.4182872772</c:v>
                </c:pt>
                <c:pt idx="5">
                  <c:v>2052.73986725021</c:v>
                </c:pt>
              </c:numCache>
            </c:numRef>
          </c:val>
          <c:smooth val="0"/>
        </c:ser>
        <c:ser>
          <c:idx val="3"/>
          <c:order val="3"/>
          <c:tx>
            <c:strRef>
              <c:f>'T. PAES'!$A$40</c:f>
              <c:strCache>
                <c:ptCount val="1"/>
                <c:pt idx="0">
                  <c:v>Gasoil</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PAES'!$B$40:$G$40</c:f>
              <c:numCache>
                <c:formatCode>General</c:formatCode>
                <c:ptCount val="6"/>
                <c:pt idx="0">
                  <c:v>26747.4862918079</c:v>
                </c:pt>
                <c:pt idx="1">
                  <c:v>30205.249855007</c:v>
                </c:pt>
                <c:pt idx="2">
                  <c:v>32749.6121916254</c:v>
                </c:pt>
                <c:pt idx="3">
                  <c:v>30653.586889342</c:v>
                </c:pt>
                <c:pt idx="4">
                  <c:v>28760.4433517767</c:v>
                </c:pt>
                <c:pt idx="5">
                  <c:v>25743.0867230297</c:v>
                </c:pt>
              </c:numCache>
            </c:numRef>
          </c:val>
          <c:smooth val="0"/>
        </c:ser>
        <c:ser>
          <c:idx val="4"/>
          <c:order val="4"/>
          <c:tx>
            <c:strRef>
              <c:f>'T. PAES'!$A$41</c:f>
              <c:strCache>
                <c:ptCount val="1"/>
                <c:pt idx="0">
                  <c:v>Gasolina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PAES'!$B$41:$G$41</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mooth val="0"/>
        </c:ser>
        <c:ser>
          <c:idx val="5"/>
          <c:order val="5"/>
          <c:tx>
            <c:strRef>
              <c:f>'T. PAES'!$A$42</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PAES'!$B$42:$G$42</c:f>
              <c:numCache>
                <c:formatCode>General</c:formatCode>
                <c:ptCount val="6"/>
                <c:pt idx="0">
                  <c:v>0.0836119474599058</c:v>
                </c:pt>
                <c:pt idx="1">
                  <c:v>0.0822135848331716</c:v>
                </c:pt>
                <c:pt idx="2">
                  <c:v>0.0883690522393922</c:v>
                </c:pt>
                <c:pt idx="3">
                  <c:v>0.100312391567398</c:v>
                </c:pt>
                <c:pt idx="4">
                  <c:v>0</c:v>
                </c:pt>
                <c:pt idx="5">
                  <c:v>0</c:v>
                </c:pt>
              </c:numCache>
            </c:numRef>
          </c:val>
          <c:smooth val="0"/>
        </c:ser>
        <c:hiLowLines>
          <c:spPr>
            <a:ln>
              <a:noFill/>
            </a:ln>
          </c:spPr>
        </c:hiLowLines>
        <c:marker val="0"/>
        <c:axId val="30909876"/>
        <c:axId val="72112006"/>
      </c:lineChart>
      <c:catAx>
        <c:axId val="30909876"/>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72112006"/>
        <c:crosses val="autoZero"/>
        <c:auto val="1"/>
        <c:lblAlgn val="ctr"/>
        <c:lblOffset val="100"/>
      </c:catAx>
      <c:valAx>
        <c:axId val="72112006"/>
        <c:scaling>
          <c:orientation val="minMax"/>
        </c:scaling>
        <c:delete val="0"/>
        <c:axPos val="l"/>
        <c:majorGridlines>
          <c:spPr>
            <a:ln w="936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defRPr>
                </a:pPr>
                <a:r>
                  <a:rPr b="1" sz="1400" spc="-1" strike="noStrike">
                    <a:solidFill>
                      <a:srgbClr val="000000"/>
                    </a:solidFill>
                    <a:uFill>
                      <a:solidFill>
                        <a:srgbClr val="ffffff"/>
                      </a:solidFill>
                    </a:uFill>
                    <a:latin typeface="Calibri"/>
                  </a:rPr>
                  <a:t>t CO2 PAES</a:t>
                </a:r>
              </a:p>
            </c:rich>
          </c:tx>
          <c:layout>
            <c:manualLayout>
              <c:xMode val="edge"/>
              <c:yMode val="edge"/>
              <c:x val="0.0214332460732984"/>
              <c:y val="0.276735588114474"/>
            </c:manualLayout>
          </c:layout>
          <c:overlay val="0"/>
        </c:title>
        <c:numFmt formatCode="#,##0" sourceLinked="0"/>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30909876"/>
        <c:crosses val="autoZero"/>
        <c:crossBetween val="midCat"/>
      </c:valAx>
      <c:spPr>
        <a:solidFill>
          <a:srgbClr val="ffffff"/>
        </a:solidFill>
        <a:ln>
          <a:noFill/>
        </a:ln>
      </c:spPr>
    </c:plotArea>
    <c:legend>
      <c:layout>
        <c:manualLayout>
          <c:xMode val="edge"/>
          <c:yMode val="edge"/>
          <c:x val="0.802437827225131"/>
          <c:y val="0.152129261947145"/>
        </c:manualLayout>
      </c:layout>
      <c:spPr>
        <a:noFill/>
        <a:ln>
          <a:noFill/>
        </a:ln>
      </c:spPr>
    </c:legend>
    <c:plotVisOnly val="1"/>
    <c:dispBlanksAs val="gap"/>
  </c:chart>
  <c:spPr>
    <a:solidFill>
      <a:srgbClr val="ffffff"/>
    </a:solidFill>
    <a:ln>
      <a:noFill/>
    </a:ln>
  </c:spPr>
</c:chartSpace>
</file>

<file path=xl/charts/chart16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08275958971477"/>
          <c:y val="0.0433729101041919"/>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74680342841085"/>
          <c:y val="0.326387206203053"/>
          <c:w val="0.607137838977097"/>
          <c:h val="0.570874727404895"/>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PAES'!$A$37:$A$42</c:f>
              <c:strCache>
                <c:ptCount val="5"/>
                <c:pt idx="0">
                  <c:v>EE</c:v>
                </c:pt>
                <c:pt idx="1">
                  <c:v>GLP</c:v>
                </c:pt>
                <c:pt idx="2">
                  <c:v>Gasoil</c:v>
                </c:pt>
                <c:pt idx="3">
                  <c:v>Gasolina</c:v>
                </c:pt>
                <c:pt idx="4">
                  <c:v>Fueloil</c:v>
                </c:pt>
              </c:strCache>
            </c:strRef>
          </c:cat>
          <c:val>
            <c:numRef>
              <c:f>'T. PAES'!$B$37:$B$42</c:f>
              <c:numCache>
                <c:formatCode>General</c:formatCode>
                <c:ptCount val="5"/>
                <c:pt idx="0">
                  <c:v>61471.4548355284</c:v>
                </c:pt>
                <c:pt idx="1">
                  <c:v>2782.55871079912</c:v>
                </c:pt>
                <c:pt idx="2">
                  <c:v>26747.4862918079</c:v>
                </c:pt>
                <c:pt idx="3">
                  <c:v>8674.37102990949</c:v>
                </c:pt>
                <c:pt idx="4">
                  <c:v>0.0836119474599058</c:v>
                </c:pt>
              </c:numCache>
            </c:numRef>
          </c:val>
        </c:ser>
      </c:pie3DChart>
      <c:spPr>
        <a:solidFill>
          <a:srgbClr val="d9d9d9"/>
        </a:solidFill>
        <a:ln>
          <a:noFill/>
        </a:ln>
      </c:spPr>
    </c:plotArea>
    <c:legend>
      <c:layout>
        <c:manualLayout>
          <c:xMode val="edge"/>
          <c:yMode val="edge"/>
          <c:x val="0.747646480258536"/>
          <c:y val="0.271868185122365"/>
        </c:manualLayout>
      </c:layout>
      <c:spPr>
        <a:noFill/>
        <a:ln>
          <a:noFill/>
        </a:ln>
      </c:spPr>
    </c:legend>
    <c:plotVisOnly val="1"/>
    <c:dispBlanksAs val="zero"/>
  </c:chart>
  <c:spPr>
    <a:solidFill>
      <a:srgbClr val="ffffff"/>
    </a:solidFill>
    <a:ln>
      <a:noFill/>
    </a:ln>
  </c:spPr>
</c:chartSpace>
</file>

<file path=xl/charts/chart16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75484983474637"/>
          <c:y val="0.026347889729202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73358241126599"/>
          <c:y val="0.328128811905343"/>
          <c:w val="0.601235809742779"/>
          <c:h val="0.568919248597219"/>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PAES'!$A$37:$A$42</c:f>
              <c:strCache>
                <c:ptCount val="5"/>
                <c:pt idx="0">
                  <c:v>EE</c:v>
                </c:pt>
                <c:pt idx="1">
                  <c:v>GLP</c:v>
                </c:pt>
                <c:pt idx="2">
                  <c:v>Gasoil</c:v>
                </c:pt>
                <c:pt idx="3">
                  <c:v>Gasolina</c:v>
                </c:pt>
                <c:pt idx="4">
                  <c:v>Fueloil</c:v>
                </c:pt>
              </c:strCache>
            </c:strRef>
          </c:cat>
          <c:val>
            <c:numRef>
              <c:f>'T. PAES'!$F$37:$F$42</c:f>
              <c:numCache>
                <c:formatCode>General</c:formatCode>
                <c:ptCount val="5"/>
                <c:pt idx="0">
                  <c:v>65254.5976912725</c:v>
                </c:pt>
                <c:pt idx="1">
                  <c:v>2232.4182872772</c:v>
                </c:pt>
                <c:pt idx="2">
                  <c:v>28760.4433517767</c:v>
                </c:pt>
                <c:pt idx="3">
                  <c:v>7964.46323878046</c:v>
                </c:pt>
                <c:pt idx="4">
                  <c:v>0</c:v>
                </c:pt>
              </c:numCache>
            </c:numRef>
          </c:val>
        </c:ser>
      </c:pie3DChart>
      <c:spPr>
        <a:solidFill>
          <a:srgbClr val="d9d9d9"/>
        </a:solidFill>
        <a:ln>
          <a:noFill/>
        </a:ln>
      </c:spPr>
    </c:plotArea>
    <c:legend>
      <c:layout>
        <c:manualLayout>
          <c:xMode val="edge"/>
          <c:yMode val="edge"/>
          <c:x val="0.791924127029746"/>
          <c:y val="0.130275676994389"/>
        </c:manualLayout>
      </c:layout>
      <c:spPr>
        <a:noFill/>
        <a:ln>
          <a:noFill/>
        </a:ln>
      </c:spPr>
    </c:legend>
    <c:plotVisOnly val="1"/>
    <c:dispBlanksAs val="zero"/>
  </c:chart>
  <c:spPr>
    <a:solidFill>
      <a:srgbClr val="ffffff"/>
    </a:solidFill>
    <a:ln>
      <a:noFill/>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MUNICIPI'!$A$93:$A$94</c:f>
              <c:strCache>
                <c:ptCount val="2"/>
                <c:pt idx="0">
                  <c:v>EE</c:v>
                </c:pt>
                <c:pt idx="1">
                  <c:v>Gasoil</c:v>
                </c:pt>
              </c:strCache>
            </c:strRef>
          </c:cat>
          <c:val>
            <c:numRef>
              <c:f>'T. MUNICIPI'!$B$93:$B$94</c:f>
              <c:numCache>
                <c:formatCode>General</c:formatCode>
                <c:ptCount val="2"/>
                <c:pt idx="0">
                  <c:v>971.556252717973</c:v>
                </c:pt>
                <c:pt idx="1">
                  <c:v>6378.45783883012</c:v>
                </c:pt>
              </c:numCache>
            </c:numRef>
          </c:val>
        </c:ser>
      </c:pie3DChart>
      <c:spPr>
        <a:solidFill>
          <a:srgbClr val="d9d9d9"/>
        </a:solidFill>
        <a:ln>
          <a:noFill/>
        </a:ln>
      </c:spPr>
    </c:plotArea>
    <c:legend>
      <c:layout>
        <c:manualLayout>
          <c:xMode val="edge"/>
          <c:yMode val="edge"/>
          <c:x val="0.759746266684287"/>
          <c:y val="0.112121212121212"/>
        </c:manualLayout>
      </c:layout>
      <c:spPr>
        <a:noFill/>
        <a:ln>
          <a:noFill/>
        </a:ln>
      </c:spPr>
    </c:legend>
    <c:plotVisOnly val="1"/>
    <c:dispBlanksAs val="zero"/>
  </c:chart>
  <c:spPr>
    <a:solidFill>
      <a:srgbClr val="ffffff"/>
    </a:solidFill>
    <a:ln>
      <a:noFill/>
    </a:ln>
  </c:spPr>
</c:chartSpace>
</file>

<file path=xl/charts/chart170.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97798640336679"/>
          <c:y val="0.0679173938336242"/>
          <c:w val="0.554791194561347"/>
          <c:h val="0.776759744037231"/>
        </c:manualLayout>
      </c:layout>
      <c:lineChart>
        <c:grouping val="standard"/>
        <c:ser>
          <c:idx val="0"/>
          <c:order val="0"/>
          <c:tx>
            <c:strRef>
              <c:f>'T. PAES'!$A$66</c:f>
              <c:strCache>
                <c:ptCount val="1"/>
                <c:pt idx="0">
                  <c:v>Serveis</c:v>
                </c:pt>
              </c:strCache>
            </c:strRef>
          </c:tx>
          <c:spPr>
            <a:solidFill>
              <a:srgbClr val="4a7ebb"/>
            </a:solidFill>
            <a:ln w="19080">
              <a:solidFill>
                <a:srgbClr val="4a7ebb"/>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PAES'!$B$66:$G$66</c:f>
              <c:numCache>
                <c:formatCode>General</c:formatCode>
                <c:ptCount val="6"/>
                <c:pt idx="0">
                  <c:v>27448.431240471</c:v>
                </c:pt>
                <c:pt idx="1">
                  <c:v>30885.8345728018</c:v>
                </c:pt>
                <c:pt idx="2">
                  <c:v>28963.6674236554</c:v>
                </c:pt>
                <c:pt idx="3">
                  <c:v>27331.9312765058</c:v>
                </c:pt>
                <c:pt idx="4">
                  <c:v>28197.3349089287</c:v>
                </c:pt>
                <c:pt idx="5">
                  <c:v>26503.6441502563</c:v>
                </c:pt>
              </c:numCache>
            </c:numRef>
          </c:val>
          <c:smooth val="0"/>
        </c:ser>
        <c:ser>
          <c:idx val="1"/>
          <c:order val="1"/>
          <c:tx>
            <c:strRef>
              <c:f>'T. PAES'!$A$67</c:f>
              <c:strCache>
                <c:ptCount val="1"/>
                <c:pt idx="0">
                  <c:v>Domèstic</c:v>
                </c:pt>
              </c:strCache>
            </c:strRef>
          </c:tx>
          <c:spPr>
            <a:solidFill>
              <a:srgbClr val="be4b48"/>
            </a:solidFill>
            <a:ln w="19080">
              <a:solidFill>
                <a:srgbClr val="be4b48"/>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PAES'!$B$67:$G$67</c:f>
              <c:numCache>
                <c:formatCode>General</c:formatCode>
                <c:ptCount val="6"/>
                <c:pt idx="0">
                  <c:v>44543.4785467151</c:v>
                </c:pt>
                <c:pt idx="1">
                  <c:v>49471.8977830614</c:v>
                </c:pt>
                <c:pt idx="2">
                  <c:v>47802.6338104749</c:v>
                </c:pt>
                <c:pt idx="3">
                  <c:v>47363.936222367</c:v>
                </c:pt>
                <c:pt idx="4">
                  <c:v>46531.6593420632</c:v>
                </c:pt>
                <c:pt idx="5">
                  <c:v>49294.2576595082</c:v>
                </c:pt>
              </c:numCache>
            </c:numRef>
          </c:val>
          <c:smooth val="0"/>
        </c:ser>
        <c:ser>
          <c:idx val="2"/>
          <c:order val="2"/>
          <c:tx>
            <c:strRef>
              <c:f>'T. PAES'!$A$68</c:f>
              <c:strCache>
                <c:ptCount val="1"/>
                <c:pt idx="0">
                  <c:v>Transport</c:v>
                </c:pt>
              </c:strCache>
            </c:strRef>
          </c:tx>
          <c:spPr>
            <a:solidFill>
              <a:srgbClr val="98b855"/>
            </a:solidFill>
            <a:ln w="19080">
              <a:solidFill>
                <a:srgbClr val="98b855"/>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PAES'!$B$68:$G$68</c:f>
              <c:numCache>
                <c:formatCode>General</c:formatCode>
                <c:ptCount val="6"/>
                <c:pt idx="0">
                  <c:v>22624.6883334242</c:v>
                </c:pt>
                <c:pt idx="1">
                  <c:v>23759.3785080101</c:v>
                </c:pt>
                <c:pt idx="2">
                  <c:v>24855.8759331337</c:v>
                </c:pt>
                <c:pt idx="3">
                  <c:v>24367.4342758006</c:v>
                </c:pt>
                <c:pt idx="4">
                  <c:v>23271.611774067</c:v>
                </c:pt>
                <c:pt idx="5">
                  <c:v>22664.6299709449</c:v>
                </c:pt>
              </c:numCache>
            </c:numRef>
          </c:val>
          <c:smooth val="0"/>
        </c:ser>
        <c:ser>
          <c:idx val="3"/>
          <c:order val="3"/>
          <c:tx>
            <c:strRef>
              <c:f>'T. PAES'!$A$69</c:f>
              <c:strCache>
                <c:ptCount val="1"/>
                <c:pt idx="0">
                  <c:v>Residus</c:v>
                </c:pt>
              </c:strCache>
            </c:strRef>
          </c:tx>
          <c:spPr>
            <a:solidFill>
              <a:srgbClr val="7d5fa0"/>
            </a:solidFill>
            <a:ln w="19080">
              <a:solidFill>
                <a:srgbClr val="7d5fa0"/>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PAES'!$B$69:$G$69</c:f>
              <c:numCache>
                <c:formatCode>General</c:formatCode>
                <c:ptCount val="6"/>
                <c:pt idx="0">
                  <c:v>8729.33717074606</c:v>
                </c:pt>
                <c:pt idx="1">
                  <c:v>9238.7148318758</c:v>
                </c:pt>
                <c:pt idx="2">
                  <c:v>10218.822147659</c:v>
                </c:pt>
                <c:pt idx="3">
                  <c:v>8981.01779429749</c:v>
                </c:pt>
                <c:pt idx="4">
                  <c:v>8007.43090743706</c:v>
                </c:pt>
                <c:pt idx="5">
                  <c:v>8033.92078866066</c:v>
                </c:pt>
              </c:numCache>
            </c:numRef>
          </c:val>
          <c:smooth val="0"/>
        </c:ser>
        <c:ser>
          <c:idx val="4"/>
          <c:order val="4"/>
          <c:tx>
            <c:strRef>
              <c:f>'T. PAES'!$A$70</c:f>
              <c:strCache>
                <c:ptCount val="1"/>
                <c:pt idx="0">
                  <c:v>Aigua</c:v>
                </c:pt>
              </c:strCache>
            </c:strRef>
          </c:tx>
          <c:spPr>
            <a:solidFill>
              <a:srgbClr val="46aac4"/>
            </a:solidFill>
            <a:ln w="19080">
              <a:solidFill>
                <a:srgbClr val="46aac4"/>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PAES'!$B$70:$G$70</c:f>
              <c:numCache>
                <c:formatCode>General</c:formatCode>
                <c:ptCount val="6"/>
                <c:pt idx="0">
                  <c:v>5059.356359382</c:v>
                </c:pt>
                <c:pt idx="1">
                  <c:v>6064.308038664</c:v>
                </c:pt>
                <c:pt idx="2">
                  <c:v>5559.329544048</c:v>
                </c:pt>
                <c:pt idx="3">
                  <c:v>5878.39124928</c:v>
                </c:pt>
                <c:pt idx="4">
                  <c:v>6211.316544048</c:v>
                </c:pt>
                <c:pt idx="5">
                  <c:v>3867.280932867</c:v>
                </c:pt>
              </c:numCache>
            </c:numRef>
          </c:val>
          <c:smooth val="0"/>
        </c:ser>
        <c:hiLowLines>
          <c:spPr>
            <a:ln>
              <a:noFill/>
            </a:ln>
          </c:spPr>
        </c:hiLowLines>
        <c:marker val="0"/>
        <c:axId val="91707118"/>
        <c:axId val="99906093"/>
      </c:lineChart>
      <c:catAx>
        <c:axId val="91707118"/>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99906093"/>
        <c:crosses val="autoZero"/>
        <c:auto val="1"/>
        <c:lblAlgn val="ctr"/>
        <c:lblOffset val="100"/>
      </c:catAx>
      <c:valAx>
        <c:axId val="99906093"/>
        <c:scaling>
          <c:orientation val="minMax"/>
        </c:scaling>
        <c:delete val="0"/>
        <c:axPos val="l"/>
        <c:majorGridlines>
          <c:spPr>
            <a:ln w="936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defRPr>
                </a:pPr>
                <a:r>
                  <a:rPr b="1" sz="1400" spc="-1" strike="noStrike">
                    <a:solidFill>
                      <a:srgbClr val="000000"/>
                    </a:solidFill>
                    <a:uFill>
                      <a:solidFill>
                        <a:srgbClr val="ffffff"/>
                      </a:solidFill>
                    </a:uFill>
                    <a:latin typeface="Calibri"/>
                  </a:rPr>
                  <a:t>t CO2 PAES</a:t>
                </a:r>
              </a:p>
            </c:rich>
          </c:tx>
          <c:layout>
            <c:manualLayout>
              <c:xMode val="edge"/>
              <c:yMode val="edge"/>
              <c:x val="0.017076723858854"/>
              <c:y val="0.265270506108202"/>
            </c:manualLayout>
          </c:layout>
          <c:overlay val="0"/>
        </c:title>
        <c:numFmt formatCode="#,##0" sourceLinked="0"/>
        <c:majorTickMark val="none"/>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91707118"/>
        <c:crosses val="autoZero"/>
        <c:crossBetween val="midCat"/>
      </c:valAx>
      <c:spPr>
        <a:solidFill>
          <a:srgbClr val="ffffff"/>
        </a:solidFill>
        <a:ln>
          <a:noFill/>
        </a:ln>
      </c:spPr>
    </c:plotArea>
    <c:legend>
      <c:layout>
        <c:manualLayout>
          <c:xMode val="edge"/>
          <c:yMode val="edge"/>
          <c:x val="0.763191971511816"/>
          <c:y val="0.0994764397905759"/>
        </c:manualLayout>
      </c:layout>
      <c:spPr>
        <a:noFill/>
        <a:ln>
          <a:noFill/>
        </a:ln>
      </c:spPr>
    </c:legend>
    <c:plotVisOnly val="1"/>
    <c:dispBlanksAs val="gap"/>
  </c:chart>
  <c:spPr>
    <a:solidFill>
      <a:srgbClr val="ffffff"/>
    </a:solidFill>
    <a:ln>
      <a:noFill/>
    </a:ln>
  </c:spPr>
</c:chartSpace>
</file>

<file path=xl/charts/chart17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658870507701084"/>
          <c:y val="0.302689594356261"/>
          <c:w val="0.574871648602396"/>
          <c:h val="0.598324514991182"/>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PAES'!$A$66:$A$70</c:f>
              <c:strCache>
                <c:ptCount val="5"/>
                <c:pt idx="0">
                  <c:v>Serveis</c:v>
                </c:pt>
                <c:pt idx="1">
                  <c:v>Domèstic</c:v>
                </c:pt>
                <c:pt idx="2">
                  <c:v>Transport</c:v>
                </c:pt>
                <c:pt idx="3">
                  <c:v>Residus</c:v>
                </c:pt>
                <c:pt idx="4">
                  <c:v>Aigua</c:v>
                </c:pt>
              </c:strCache>
            </c:strRef>
          </c:cat>
          <c:val>
            <c:numRef>
              <c:f>'T. PAES'!$B$66:$B$70</c:f>
              <c:numCache>
                <c:formatCode>General</c:formatCode>
                <c:ptCount val="5"/>
                <c:pt idx="0">
                  <c:v>27448.431240471</c:v>
                </c:pt>
                <c:pt idx="1">
                  <c:v>44543.4785467151</c:v>
                </c:pt>
                <c:pt idx="2">
                  <c:v>22624.6883334242</c:v>
                </c:pt>
                <c:pt idx="3">
                  <c:v>8729.33717074606</c:v>
                </c:pt>
                <c:pt idx="4">
                  <c:v>5059.356359382</c:v>
                </c:pt>
              </c:numCache>
            </c:numRef>
          </c:val>
        </c:ser>
      </c:pie3DChart>
      <c:spPr>
        <a:solidFill>
          <a:srgbClr val="d9d9d9"/>
        </a:solidFill>
        <a:ln>
          <a:noFill/>
        </a:ln>
      </c:spPr>
    </c:plotArea>
    <c:legend>
      <c:layout>
        <c:manualLayout>
          <c:xMode val="edge"/>
          <c:yMode val="edge"/>
          <c:x val="0.676839703365659"/>
          <c:y val="0.0674603174603175"/>
        </c:manualLayout>
      </c:layout>
      <c:spPr>
        <a:noFill/>
        <a:ln>
          <a:noFill/>
        </a:ln>
      </c:spPr>
    </c:legend>
    <c:plotVisOnly val="1"/>
    <c:dispBlanksAs val="zero"/>
  </c:chart>
  <c:spPr>
    <a:solidFill>
      <a:srgbClr val="ffffff"/>
    </a:solidFill>
    <a:ln>
      <a:noFill/>
    </a:ln>
  </c:spPr>
</c:chartSpace>
</file>

<file path=xl/charts/chart17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610382201939532"/>
          <c:y val="0.302689594356261"/>
          <c:w val="0.579720479178551"/>
          <c:h val="0.598324514991182"/>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PAES'!$A$66:$A$70</c:f>
              <c:strCache>
                <c:ptCount val="5"/>
                <c:pt idx="0">
                  <c:v>Serveis</c:v>
                </c:pt>
                <c:pt idx="1">
                  <c:v>Domèstic</c:v>
                </c:pt>
                <c:pt idx="2">
                  <c:v>Transport</c:v>
                </c:pt>
                <c:pt idx="3">
                  <c:v>Residus</c:v>
                </c:pt>
                <c:pt idx="4">
                  <c:v>Aigua</c:v>
                </c:pt>
              </c:strCache>
            </c:strRef>
          </c:cat>
          <c:val>
            <c:numRef>
              <c:f>'T. PAES'!$F$66:$F$70</c:f>
              <c:numCache>
                <c:formatCode>General</c:formatCode>
                <c:ptCount val="5"/>
                <c:pt idx="0">
                  <c:v>28197.3349089287</c:v>
                </c:pt>
                <c:pt idx="1">
                  <c:v>46531.6593420632</c:v>
                </c:pt>
                <c:pt idx="2">
                  <c:v>23271.611774067</c:v>
                </c:pt>
                <c:pt idx="3">
                  <c:v>8007.43090743706</c:v>
                </c:pt>
                <c:pt idx="4">
                  <c:v>6211.316544048</c:v>
                </c:pt>
              </c:numCache>
            </c:numRef>
          </c:val>
        </c:ser>
      </c:pie3DChart>
      <c:spPr>
        <a:solidFill>
          <a:srgbClr val="d9d9d9"/>
        </a:solidFill>
        <a:ln>
          <a:noFill/>
        </a:ln>
      </c:spPr>
    </c:plotArea>
    <c:legend>
      <c:layout>
        <c:manualLayout>
          <c:xMode val="edge"/>
          <c:yMode val="edge"/>
          <c:x val="0.676839703365659"/>
          <c:y val="0.0595238095238095"/>
        </c:manualLayout>
      </c:layout>
      <c:spPr>
        <a:noFill/>
        <a:ln>
          <a:noFill/>
        </a:ln>
      </c:spPr>
    </c:legend>
    <c:plotVisOnly val="1"/>
    <c:dispBlanksAs val="zero"/>
  </c:chart>
  <c:spPr>
    <a:solidFill>
      <a:srgbClr val="ffffff"/>
    </a:solidFill>
    <a:ln>
      <a:noFill/>
    </a:ln>
  </c:spPr>
</c:chartSpace>
</file>

<file path=xl/charts/chart17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6490589419875"/>
          <c:y val="0.0537172919839402"/>
          <c:w val="0.584307954457439"/>
          <c:h val="0.774193548387097"/>
        </c:manualLayout>
      </c:layout>
      <c:lineChart>
        <c:grouping val="standard"/>
        <c:ser>
          <c:idx val="0"/>
          <c:order val="0"/>
          <c:tx>
            <c:strRef>
              <c:f>'T.AJUNTAMENT'!$A$37</c:f>
              <c:strCache>
                <c:ptCount val="1"/>
                <c:pt idx="0">
                  <c:v>EE</c:v>
                </c:pt>
              </c:strCache>
            </c:strRef>
          </c:tx>
          <c:spPr>
            <a:solidFill>
              <a:srgbClr val="4a7ebb"/>
            </a:solidFill>
            <a:ln w="19080">
              <a:solidFill>
                <a:srgbClr val="4a7ebb"/>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'T.AJUNTAMENT'!$B$37:$G$37</c:f>
              <c:numCache>
                <c:formatCode>General</c:formatCode>
                <c:ptCount val="6"/>
                <c:pt idx="0">
                  <c:v>6768.37391037</c:v>
                </c:pt>
                <c:pt idx="1">
                  <c:v>7964.005588608</c:v>
                </c:pt>
                <c:pt idx="2">
                  <c:v>7162.411995186</c:v>
                </c:pt>
                <c:pt idx="3">
                  <c:v>7620.57900736</c:v>
                </c:pt>
                <c:pt idx="4">
                  <c:v>7871.82859782</c:v>
                </c:pt>
                <c:pt idx="5">
                  <c:v>5247.821556153</c:v>
                </c:pt>
              </c:numCache>
            </c:numRef>
          </c:val>
          <c:smooth val="0"/>
        </c:ser>
        <c:ser>
          <c:idx val="1"/>
          <c:order val="1"/>
          <c:tx>
            <c:strRef>
              <c:f>'T.AJUNTAMENT'!$A$38</c:f>
              <c:strCache>
                <c:ptCount val="1"/>
                <c:pt idx="0">
                  <c:v>GN</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'T.AJUNTAMENT'!$B$38:$G$38</c:f>
              <c:numCache>
                <c:formatCode>General</c:formatCode>
                <c:ptCount val="6"/>
                <c:pt idx="0">
                  <c:v>0</c:v>
                </c:pt>
                <c:pt idx="1">
                  <c:v>0</c:v>
                </c:pt>
                <c:pt idx="2">
                  <c:v>0</c:v>
                </c:pt>
                <c:pt idx="3">
                  <c:v>0</c:v>
                </c:pt>
                <c:pt idx="4">
                  <c:v>0</c:v>
                </c:pt>
                <c:pt idx="5">
                  <c:v>0</c:v>
                </c:pt>
              </c:numCache>
            </c:numRef>
          </c:val>
          <c:smooth val="0"/>
        </c:ser>
        <c:ser>
          <c:idx val="2"/>
          <c:order val="2"/>
          <c:tx>
            <c:strRef>
              <c:f>'T.AJUNTAMENT'!$A$39</c:f>
              <c:strCache>
                <c:ptCount val="1"/>
                <c:pt idx="0">
                  <c:v>GLP</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'T.AJUNTAMENT'!$B$39:$G$39</c:f>
              <c:numCache>
                <c:formatCode>General</c:formatCode>
                <c:ptCount val="6"/>
                <c:pt idx="0">
                  <c:v>39.1505844186047</c:v>
                </c:pt>
                <c:pt idx="1">
                  <c:v>39.1505844186047</c:v>
                </c:pt>
                <c:pt idx="2">
                  <c:v>39.1505844186047</c:v>
                </c:pt>
                <c:pt idx="3">
                  <c:v>39.1505844186047</c:v>
                </c:pt>
                <c:pt idx="4">
                  <c:v>39.1505844186047</c:v>
                </c:pt>
                <c:pt idx="5">
                  <c:v>39.1505844186047</c:v>
                </c:pt>
              </c:numCache>
            </c:numRef>
          </c:val>
          <c:smooth val="0"/>
        </c:ser>
        <c:ser>
          <c:idx val="3"/>
          <c:order val="3"/>
          <c:tx>
            <c:strRef>
              <c:f>'T.AJUNTAMENT'!$A$40</c:f>
              <c:strCache>
                <c:ptCount val="1"/>
                <c:pt idx="0">
                  <c:v>Gasoil</c:v>
                </c:pt>
              </c:strCache>
            </c:strRef>
          </c:tx>
          <c:spPr>
            <a:solidFill>
              <a:srgbClr val="be4b48"/>
            </a:solidFill>
            <a:ln w="19080">
              <a:solidFill>
                <a:srgbClr val="be4b48"/>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'T.AJUNTAMENT'!$B$40:$G$40</c:f>
              <c:numCache>
                <c:formatCode>General</c:formatCode>
                <c:ptCount val="6"/>
                <c:pt idx="0">
                  <c:v>493.81679472795</c:v>
                </c:pt>
                <c:pt idx="1">
                  <c:v>540.18403208295</c:v>
                </c:pt>
                <c:pt idx="2">
                  <c:v>540.18403208295</c:v>
                </c:pt>
                <c:pt idx="3">
                  <c:v>540.18403208295</c:v>
                </c:pt>
                <c:pt idx="4">
                  <c:v>540.18403208295</c:v>
                </c:pt>
                <c:pt idx="5">
                  <c:v>550.04940173295</c:v>
                </c:pt>
              </c:numCache>
            </c:numRef>
          </c:val>
          <c:smooth val="0"/>
        </c:ser>
        <c:ser>
          <c:idx val="4"/>
          <c:order val="4"/>
          <c:tx>
            <c:strRef>
              <c:f>'T.AJUNTAMENT'!$A$41</c:f>
              <c:strCache>
                <c:ptCount val="1"/>
                <c:pt idx="0">
                  <c:v>Gasolina</c:v>
                </c:pt>
              </c:strCache>
            </c:strRef>
          </c:tx>
          <c:spPr>
            <a:solidFill>
              <a:srgbClr val="46aac4"/>
            </a:solidFill>
            <a:ln w="19080">
              <a:solidFill>
                <a:srgbClr val="46aac4"/>
              </a:solidFill>
              <a:round/>
            </a:ln>
          </c:spPr>
          <c:marker>
            <c:symbol val="none"/>
          </c:marker>
          <c:dLbls>
            <c:showLegendKey val="0"/>
            <c:showVal val="0"/>
            <c:showCatName val="0"/>
            <c:showSerName val="0"/>
            <c:showPercent val="0"/>
            <c:showLeaderLines val="0"/>
          </c:dLbls>
          <c:cat>
            <c:strRef>
              <c:f>'T.AJUNTAMENT'!$B$36:$G$36</c:f>
              <c:strCache>
                <c:ptCount val="6"/>
                <c:pt idx="0">
                  <c:v>2005</c:v>
                </c:pt>
                <c:pt idx="1">
                  <c:v>2006</c:v>
                </c:pt>
                <c:pt idx="2">
                  <c:v>2007</c:v>
                </c:pt>
                <c:pt idx="3">
                  <c:v>2008</c:v>
                </c:pt>
                <c:pt idx="4">
                  <c:v>2009</c:v>
                </c:pt>
                <c:pt idx="5">
                  <c:v>2010</c:v>
                </c:pt>
              </c:strCache>
            </c:strRef>
          </c:cat>
          <c:val>
            <c:numRef>
              <c:f>'T.AJUNTAMENT'!$B$41:$G$41</c:f>
              <c:numCache>
                <c:formatCode>General</c:formatCode>
                <c:ptCount val="6"/>
                <c:pt idx="0">
                  <c:v>53.369762355</c:v>
                </c:pt>
                <c:pt idx="1">
                  <c:v>86.40818667</c:v>
                </c:pt>
                <c:pt idx="2">
                  <c:v>86.40818667</c:v>
                </c:pt>
                <c:pt idx="3">
                  <c:v>86.40818667</c:v>
                </c:pt>
                <c:pt idx="4">
                  <c:v>86.40818667</c:v>
                </c:pt>
                <c:pt idx="5">
                  <c:v>86.40818667</c:v>
                </c:pt>
              </c:numCache>
            </c:numRef>
          </c:val>
          <c:smooth val="0"/>
        </c:ser>
        <c:hiLowLines>
          <c:spPr>
            <a:ln>
              <a:noFill/>
            </a:ln>
          </c:spPr>
        </c:hiLowLines>
        <c:marker val="0"/>
        <c:axId val="13662294"/>
        <c:axId val="9497733"/>
      </c:lineChart>
      <c:catAx>
        <c:axId val="13662294"/>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9497733"/>
        <c:crosses val="autoZero"/>
        <c:auto val="1"/>
        <c:lblAlgn val="ctr"/>
        <c:lblOffset val="100"/>
      </c:catAx>
      <c:valAx>
        <c:axId val="9497733"/>
        <c:scaling>
          <c:orientation val="minMax"/>
        </c:scaling>
        <c:delete val="0"/>
        <c:axPos val="l"/>
        <c:majorGridlines>
          <c:spPr>
            <a:ln w="936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defRPr>
                </a:pPr>
                <a:r>
                  <a:rPr b="1" sz="1400" spc="-1" strike="noStrike">
                    <a:solidFill>
                      <a:srgbClr val="000000"/>
                    </a:solidFill>
                    <a:uFill>
                      <a:solidFill>
                        <a:srgbClr val="ffffff"/>
                      </a:solidFill>
                    </a:uFill>
                    <a:latin typeface="Calibri"/>
                  </a:rPr>
                  <a:t>t CO2  Ajuntament</a:t>
                </a:r>
              </a:p>
            </c:rich>
          </c:tx>
          <c:layout>
            <c:manualLayout>
              <c:xMode val="edge"/>
              <c:yMode val="edge"/>
              <c:x val="0.0290450003872667"/>
              <c:y val="0.185933822511422"/>
            </c:manualLayout>
          </c:layout>
          <c:overlay val="0"/>
        </c:title>
        <c:numFmt formatCode="#,##0" sourceLinked="0"/>
        <c:majorTickMark val="out"/>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13662294"/>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17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243902439024"/>
          <c:y val="0.0241157556270096"/>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06546854942234"/>
          <c:y val="0.265043638033992"/>
          <c:w val="0.556839252603052"/>
          <c:h val="0.696600826825907"/>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0"/>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0"/>
            </c:dLbl>
            <c:dLblPos val="bestFit"/>
            <c:showLegendKey val="0"/>
            <c:showVal val="0"/>
            <c:showCatName val="0"/>
            <c:showSerName val="0"/>
            <c:showPercent val="1"/>
            <c:showLeaderLines val="0"/>
          </c:dLbls>
          <c:cat>
            <c:strRef>
              <c:f>'T.AJUNTAMENT'!$A$37:$A$42</c:f>
              <c:strCache>
                <c:ptCount val="6"/>
                <c:pt idx="0">
                  <c:v>EE</c:v>
                </c:pt>
                <c:pt idx="1">
                  <c:v>GN</c:v>
                </c:pt>
                <c:pt idx="2">
                  <c:v>GLP</c:v>
                </c:pt>
                <c:pt idx="3">
                  <c:v>Gasoil</c:v>
                </c:pt>
                <c:pt idx="4">
                  <c:v>Gasolina</c:v>
                </c:pt>
                <c:pt idx="5">
                  <c:v>Fueloil</c:v>
                </c:pt>
              </c:strCache>
            </c:strRef>
          </c:cat>
          <c:val>
            <c:numRef>
              <c:f>'T.AJUNTAMENT'!$B$37:$B$42</c:f>
              <c:numCache>
                <c:formatCode>General</c:formatCode>
                <c:ptCount val="6"/>
                <c:pt idx="0">
                  <c:v>6768.37391037</c:v>
                </c:pt>
                <c:pt idx="1">
                  <c:v>0</c:v>
                </c:pt>
                <c:pt idx="2">
                  <c:v>39.1505844186047</c:v>
                </c:pt>
                <c:pt idx="3">
                  <c:v>493.81679472795</c:v>
                </c:pt>
                <c:pt idx="4">
                  <c:v>53.369762355</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7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43902439024"/>
          <c:y val="0.0241157556270096"/>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01554699757524"/>
          <c:y val="0.248736793752871"/>
          <c:w val="0.556839252603052"/>
          <c:h val="0.696600826825907"/>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0"/>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0"/>
            </c:dLbl>
            <c:dLblPos val="bestFit"/>
            <c:showLegendKey val="0"/>
            <c:showVal val="0"/>
            <c:showCatName val="0"/>
            <c:showSerName val="0"/>
            <c:showPercent val="1"/>
            <c:showLeaderLines val="0"/>
          </c:dLbls>
          <c:cat>
            <c:strRef>
              <c:f>'T.AJUNTAMENT'!$A$37:$A$42</c:f>
              <c:strCache>
                <c:ptCount val="6"/>
                <c:pt idx="0">
                  <c:v>EE</c:v>
                </c:pt>
                <c:pt idx="1">
                  <c:v>GN</c:v>
                </c:pt>
                <c:pt idx="2">
                  <c:v>GLP</c:v>
                </c:pt>
                <c:pt idx="3">
                  <c:v>Gasoil</c:v>
                </c:pt>
                <c:pt idx="4">
                  <c:v>Gasolina</c:v>
                </c:pt>
                <c:pt idx="5">
                  <c:v>Fueloil</c:v>
                </c:pt>
              </c:strCache>
            </c:strRef>
          </c:cat>
          <c:val>
            <c:numRef>
              <c:f>'T.AJUNTAMENT'!$F$37:$F$42</c:f>
              <c:numCache>
                <c:formatCode>General</c:formatCode>
                <c:ptCount val="6"/>
                <c:pt idx="0">
                  <c:v>7871.82859782</c:v>
                </c:pt>
                <c:pt idx="1">
                  <c:v>0</c:v>
                </c:pt>
                <c:pt idx="2">
                  <c:v>39.1505844186047</c:v>
                </c:pt>
                <c:pt idx="3">
                  <c:v>540.18403208295</c:v>
                </c:pt>
                <c:pt idx="4">
                  <c:v>86.40818667</c:v>
                </c:pt>
                <c:pt idx="5">
                  <c:v>0</c:v>
                </c:pt>
              </c:numCache>
            </c:numRef>
          </c:val>
        </c:ser>
      </c:pie3DChart>
      <c:spPr>
        <a:solidFill>
          <a:srgbClr val="d9d9d9"/>
        </a:solidFill>
        <a:ln>
          <a:noFill/>
        </a:ln>
      </c:spPr>
    </c:plotArea>
    <c:legend>
      <c:legendPos val="r"/>
      <c:overlay val="0"/>
      <c:spPr>
        <a:noFill/>
        <a:ln>
          <a:noFill/>
        </a:ln>
      </c:spPr>
    </c:legend>
    <c:plotVisOnly val="1"/>
    <c:dispBlanksAs val="zero"/>
  </c:chart>
  <c:spPr>
    <a:solidFill>
      <a:srgbClr val="ffffff"/>
    </a:solidFill>
    <a:ln>
      <a:noFill/>
    </a:ln>
  </c:spPr>
</c:chartSpace>
</file>

<file path=xl/charts/chart17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55913184703972"/>
          <c:y val="0.052253689668927"/>
          <c:w val="0.565628229735715"/>
          <c:h val="0.837654567211807"/>
        </c:manualLayout>
      </c:layout>
      <c:lineChart>
        <c:grouping val="standard"/>
        <c:ser>
          <c:idx val="0"/>
          <c:order val="0"/>
          <c:tx>
            <c:strRef>
              <c:f>'T.AJUNTAMENT'!$A$77</c:f>
              <c:strCache>
                <c:ptCount val="1"/>
                <c:pt idx="0">
                  <c:v>Enllumenat públic</c:v>
                </c:pt>
              </c:strCache>
            </c:strRef>
          </c:tx>
          <c:spPr>
            <a:solidFill>
              <a:srgbClr val="426fa6"/>
            </a:solidFill>
            <a:ln w="19080">
              <a:solidFill>
                <a:srgbClr val="426fa6"/>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'T.AJUNTAMENT'!$B$77:$G$77</c:f>
              <c:numCache>
                <c:formatCode>General</c:formatCode>
                <c:ptCount val="6"/>
                <c:pt idx="0">
                  <c:v>705.0885618</c:v>
                </c:pt>
                <c:pt idx="1">
                  <c:v>948.0498432</c:v>
                </c:pt>
                <c:pt idx="2">
                  <c:v>701.5264914</c:v>
                </c:pt>
                <c:pt idx="3">
                  <c:v>858.501248</c:v>
                </c:pt>
                <c:pt idx="4">
                  <c:v>817.1061855</c:v>
                </c:pt>
                <c:pt idx="5">
                  <c:v>689.9573373</c:v>
                </c:pt>
              </c:numCache>
            </c:numRef>
          </c:val>
          <c:smooth val="0"/>
        </c:ser>
        <c:ser>
          <c:idx val="1"/>
          <c:order val="1"/>
          <c:tx>
            <c:strRef>
              <c:f>'T.AJUNTAMENT'!$A$78</c:f>
              <c:strCache>
                <c:ptCount val="1"/>
                <c:pt idx="0">
                  <c:v>Semàfors</c:v>
                </c:pt>
              </c:strCache>
            </c:strRef>
          </c:tx>
          <c:spPr>
            <a:solidFill>
              <a:srgbClr val="aa433f"/>
            </a:solidFill>
            <a:ln w="19080">
              <a:solidFill>
                <a:srgbClr val="aa433f"/>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'T.AJUNTAMENT'!$B$78:$G$78</c:f>
              <c:numCache>
                <c:formatCode>General</c:formatCode>
                <c:ptCount val="6"/>
                <c:pt idx="0">
                  <c:v>5.9133504</c:v>
                </c:pt>
                <c:pt idx="1">
                  <c:v>6.3660672</c:v>
                </c:pt>
                <c:pt idx="2">
                  <c:v>5.7542688</c:v>
                </c:pt>
                <c:pt idx="3">
                  <c:v>5.7970176</c:v>
                </c:pt>
                <c:pt idx="4">
                  <c:v>5.9434848</c:v>
                </c:pt>
                <c:pt idx="5">
                  <c:v>5.9434848</c:v>
                </c:pt>
              </c:numCache>
            </c:numRef>
          </c:val>
          <c:smooth val="0"/>
        </c:ser>
        <c:ser>
          <c:idx val="2"/>
          <c:order val="2"/>
          <c:tx>
            <c:strRef>
              <c:f>'T.AJUNTAMENT'!$A$79</c:f>
              <c:strCache>
                <c:ptCount val="1"/>
                <c:pt idx="0">
                  <c:v>Equipaments</c:v>
                </c:pt>
              </c:strCache>
            </c:strRef>
          </c:tx>
          <c:spPr>
            <a:solidFill>
              <a:srgbClr val="87a44b"/>
            </a:solidFill>
            <a:ln w="19080">
              <a:solidFill>
                <a:srgbClr val="87a44b"/>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'T.AJUNTAMENT'!$B$79:$G$79</c:f>
              <c:numCache>
                <c:formatCode>General</c:formatCode>
                <c:ptCount val="6"/>
                <c:pt idx="0">
                  <c:v>1528.7187312186</c:v>
                </c:pt>
                <c:pt idx="1">
                  <c:v>1525.7292072186</c:v>
                </c:pt>
                <c:pt idx="2">
                  <c:v>1441.0368759186</c:v>
                </c:pt>
                <c:pt idx="3">
                  <c:v>1442.2320632186</c:v>
                </c:pt>
                <c:pt idx="4">
                  <c:v>1426.9072944186</c:v>
                </c:pt>
                <c:pt idx="5">
                  <c:v>1368.7657989186</c:v>
                </c:pt>
              </c:numCache>
            </c:numRef>
          </c:val>
          <c:smooth val="0"/>
        </c:ser>
        <c:ser>
          <c:idx val="3"/>
          <c:order val="3"/>
          <c:tx>
            <c:strRef>
              <c:f>'T.AJUNTAMENT'!$A$80</c:f>
              <c:strCache>
                <c:ptCount val="1"/>
                <c:pt idx="0">
                  <c:v>Vehicles municipals</c:v>
                </c:pt>
              </c:strCache>
            </c:strRef>
          </c:tx>
          <c:spPr>
            <a:solidFill>
              <a:srgbClr val="6f568d"/>
            </a:solidFill>
            <a:ln w="19080">
              <a:solidFill>
                <a:srgbClr val="6f568d"/>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'T.AJUNTAMENT'!$B$80:$G$80</c:f>
              <c:numCache>
                <c:formatCode>General</c:formatCode>
                <c:ptCount val="6"/>
                <c:pt idx="0">
                  <c:v>209.242602825</c:v>
                </c:pt>
                <c:pt idx="1">
                  <c:v>288.648264495</c:v>
                </c:pt>
                <c:pt idx="2">
                  <c:v>288.648264495</c:v>
                </c:pt>
                <c:pt idx="3">
                  <c:v>288.648264495</c:v>
                </c:pt>
                <c:pt idx="4">
                  <c:v>288.648264495</c:v>
                </c:pt>
                <c:pt idx="5">
                  <c:v>298.513634145</c:v>
                </c:pt>
              </c:numCache>
            </c:numRef>
          </c:val>
          <c:smooth val="0"/>
        </c:ser>
        <c:ser>
          <c:idx val="4"/>
          <c:order val="4"/>
          <c:tx>
            <c:strRef>
              <c:f>'T.AJUNTAMENT'!$A$81</c:f>
              <c:strCache>
                <c:ptCount val="1"/>
                <c:pt idx="0">
                  <c:v>Vehicles externalitzats</c:v>
                </c:pt>
              </c:strCache>
            </c:strRef>
          </c:tx>
          <c:spPr>
            <a:solidFill>
              <a:srgbClr val="3d97af"/>
            </a:solidFill>
            <a:ln w="19080">
              <a:solidFill>
                <a:srgbClr val="3d97af"/>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'T.AJUNTAMENT'!$B$81:$G$81</c:f>
              <c:numCache>
                <c:formatCode>General</c:formatCode>
                <c:ptCount val="6"/>
                <c:pt idx="0">
                  <c:v>154.06180185795</c:v>
                </c:pt>
                <c:pt idx="1">
                  <c:v>154.06180185795</c:v>
                </c:pt>
                <c:pt idx="2">
                  <c:v>154.06180185795</c:v>
                </c:pt>
                <c:pt idx="3">
                  <c:v>154.06180185795</c:v>
                </c:pt>
                <c:pt idx="4">
                  <c:v>154.06180185795</c:v>
                </c:pt>
                <c:pt idx="5">
                  <c:v>154.06180185795</c:v>
                </c:pt>
              </c:numCache>
            </c:numRef>
          </c:val>
          <c:smooth val="0"/>
        </c:ser>
        <c:ser>
          <c:idx val="5"/>
          <c:order val="5"/>
          <c:tx>
            <c:strRef>
              <c:f>'T.AJUNTAMENT'!$A$82</c:f>
              <c:strCache>
                <c:ptCount val="1"/>
                <c:pt idx="0">
                  <c:v>Bombament</c:v>
                </c:pt>
              </c:strCache>
            </c:strRef>
          </c:tx>
          <c:spPr>
            <a:solidFill>
              <a:srgbClr val="8ea5ca"/>
            </a:solidFill>
            <a:ln w="19080">
              <a:solidFill>
                <a:srgbClr val="8ea5ca"/>
              </a:solidFill>
              <a:round/>
            </a:ln>
          </c:spPr>
          <c:marker>
            <c:symbol val="none"/>
          </c:marker>
          <c:dLbls>
            <c:showLegendKey val="0"/>
            <c:showVal val="0"/>
            <c:showCatName val="0"/>
            <c:showSerName val="0"/>
            <c:showPercent val="0"/>
            <c:showLeaderLines val="0"/>
          </c:dLbls>
          <c:cat>
            <c:strRef>
              <c:f>'T.AJUNTAMENT'!$B$76:$G$76</c:f>
              <c:strCache>
                <c:ptCount val="6"/>
                <c:pt idx="0">
                  <c:v>2005</c:v>
                </c:pt>
                <c:pt idx="1">
                  <c:v>2006</c:v>
                </c:pt>
                <c:pt idx="2">
                  <c:v>2007</c:v>
                </c:pt>
                <c:pt idx="3">
                  <c:v>2008</c:v>
                </c:pt>
                <c:pt idx="4">
                  <c:v>2009</c:v>
                </c:pt>
                <c:pt idx="5">
                  <c:v>2010</c:v>
                </c:pt>
              </c:strCache>
            </c:strRef>
          </c:cat>
          <c:val>
            <c:numRef>
              <c:f>'T.AJUNTAMENT'!$B$82:$G$82</c:f>
              <c:numCache>
                <c:formatCode>General</c:formatCode>
                <c:ptCount val="6"/>
                <c:pt idx="0">
                  <c:v>4751.68600377</c:v>
                </c:pt>
                <c:pt idx="1">
                  <c:v>5706.893207808</c:v>
                </c:pt>
                <c:pt idx="2">
                  <c:v>5237.127095886</c:v>
                </c:pt>
                <c:pt idx="3">
                  <c:v>5537.08141536</c:v>
                </c:pt>
                <c:pt idx="4">
                  <c:v>5844.90436992</c:v>
                </c:pt>
                <c:pt idx="5">
                  <c:v>3406.187671953</c:v>
                </c:pt>
              </c:numCache>
            </c:numRef>
          </c:val>
          <c:smooth val="0"/>
        </c:ser>
        <c:hiLowLines>
          <c:spPr>
            <a:ln>
              <a:noFill/>
            </a:ln>
          </c:spPr>
        </c:hiLowLines>
        <c:marker val="0"/>
        <c:axId val="19337174"/>
        <c:axId val="4712368"/>
      </c:lineChart>
      <c:catAx>
        <c:axId val="19337174"/>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4712368"/>
        <c:crosses val="autoZero"/>
        <c:auto val="1"/>
        <c:lblAlgn val="ctr"/>
        <c:lblOffset val="100"/>
      </c:catAx>
      <c:valAx>
        <c:axId val="4712368"/>
        <c:scaling>
          <c:orientation val="minMax"/>
        </c:scaling>
        <c:delete val="0"/>
        <c:axPos val="l"/>
        <c:majorGridlines>
          <c:spPr>
            <a:ln w="9360">
              <a:solidFill>
                <a:srgbClr val="878787"/>
              </a:solidFill>
              <a:round/>
            </a:ln>
          </c:spPr>
        </c:majorGridlines>
        <c:title>
          <c:tx>
            <c:rich>
              <a:bodyPr rot="-5400000"/>
              <a:lstStyle/>
              <a:p>
                <a:pPr>
                  <a:defRPr b="1" sz="1400" spc="-1" strike="noStrike">
                    <a:solidFill>
                      <a:srgbClr val="000000"/>
                    </a:solidFill>
                    <a:uFill>
                      <a:solidFill>
                        <a:srgbClr val="ffffff"/>
                      </a:solidFill>
                    </a:uFill>
                    <a:latin typeface="Calibri"/>
                  </a:defRPr>
                </a:pPr>
                <a:r>
                  <a:rPr b="1" sz="1400" spc="-1" strike="noStrike">
                    <a:solidFill>
                      <a:srgbClr val="000000"/>
                    </a:solidFill>
                    <a:uFill>
                      <a:solidFill>
                        <a:srgbClr val="ffffff"/>
                      </a:solidFill>
                    </a:uFill>
                    <a:latin typeface="Calibri"/>
                  </a:rPr>
                  <a:t>t CO2  Ajuntament</a:t>
                </a:r>
              </a:p>
            </c:rich>
          </c:tx>
          <c:layout>
            <c:manualLayout>
              <c:xMode val="edge"/>
              <c:yMode val="edge"/>
              <c:x val="0.0102613317584527"/>
              <c:y val="0.226166733147188"/>
            </c:manualLayout>
          </c:layout>
          <c:overlay val="0"/>
        </c:title>
        <c:numFmt formatCode="#,##0" sourceLinked="0"/>
        <c:majorTickMark val="out"/>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19337174"/>
        <c:crosses val="autoZero"/>
        <c:crossBetween val="midCat"/>
      </c:valAx>
      <c:spPr>
        <a:solidFill>
          <a:srgbClr val="ffffff"/>
        </a:solidFill>
        <a:ln>
          <a:noFill/>
        </a:ln>
      </c:spPr>
    </c:plotArea>
    <c:legend>
      <c:layout>
        <c:manualLayout>
          <c:xMode val="edge"/>
          <c:yMode val="edge"/>
          <c:x val="0.724494315665141"/>
          <c:y val="0.16487169259407"/>
        </c:manualLayout>
      </c:layout>
      <c:spPr>
        <a:noFill/>
        <a:ln>
          <a:noFill/>
        </a:ln>
      </c:spPr>
    </c:legend>
    <c:plotVisOnly val="1"/>
    <c:dispBlanksAs val="gap"/>
  </c:chart>
  <c:spPr>
    <a:solidFill>
      <a:srgbClr val="ffffff"/>
    </a:solidFill>
    <a:ln>
      <a:noFill/>
    </a:ln>
  </c:spPr>
</c:chartSpace>
</file>

<file path=xl/charts/chart17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90165876777251"/>
          <c:y val="0.0241444467772412"/>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290284360189573"/>
          <c:y val="0.148225908041151"/>
          <c:w val="0.500236966824645"/>
          <c:h val="0.804744908671006"/>
        </c:manualLayout>
      </c:layout>
      <c:pie3DChart>
        <c:varyColors val="1"/>
        <c:ser>
          <c:idx val="0"/>
          <c:order val="0"/>
          <c:spPr>
            <a:solidFill>
              <a:srgbClr val="c0504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'T.AJUNTAMENT'!$A$77:$A$82</c:f>
              <c:strCache>
                <c:ptCount val="6"/>
                <c:pt idx="0">
                  <c:v>Enllumenat públic</c:v>
                </c:pt>
                <c:pt idx="1">
                  <c:v>Semàfors</c:v>
                </c:pt>
                <c:pt idx="2">
                  <c:v>Equipaments</c:v>
                </c:pt>
                <c:pt idx="3">
                  <c:v>Vehicles municipals</c:v>
                </c:pt>
                <c:pt idx="4">
                  <c:v>Vehicles externalitzats</c:v>
                </c:pt>
                <c:pt idx="5">
                  <c:v>Bombament</c:v>
                </c:pt>
              </c:strCache>
            </c:strRef>
          </c:cat>
          <c:val>
            <c:numRef>
              <c:f>'T.AJUNTAMENT'!$B$77:$B$82</c:f>
              <c:numCache>
                <c:formatCode>General</c:formatCode>
                <c:ptCount val="6"/>
                <c:pt idx="0">
                  <c:v>705.0885618</c:v>
                </c:pt>
                <c:pt idx="1">
                  <c:v>5.9133504</c:v>
                </c:pt>
                <c:pt idx="2">
                  <c:v>1528.7187312186</c:v>
                </c:pt>
                <c:pt idx="3">
                  <c:v>209.242602825</c:v>
                </c:pt>
                <c:pt idx="4">
                  <c:v>154.06180185795</c:v>
                </c:pt>
                <c:pt idx="5">
                  <c:v>4751.68600377</c:v>
                </c:pt>
              </c:numCache>
            </c:numRef>
          </c:val>
        </c:ser>
      </c:pie3DChart>
      <c:spPr>
        <a:solidFill>
          <a:srgbClr val="d9d9d9"/>
        </a:solidFill>
        <a:ln>
          <a:noFill/>
        </a:ln>
      </c:spPr>
    </c:plotArea>
    <c:legend>
      <c:layout>
        <c:manualLayout>
          <c:xMode val="edge"/>
          <c:yMode val="edge"/>
          <c:x val="0.636137440758294"/>
          <c:y val="0.071173630065085"/>
        </c:manualLayout>
      </c:layout>
      <c:spPr>
        <a:noFill/>
        <a:ln>
          <a:noFill/>
        </a:ln>
      </c:spPr>
    </c:legend>
    <c:plotVisOnly val="1"/>
    <c:dispBlanksAs val="zero"/>
  </c:chart>
  <c:spPr>
    <a:solidFill>
      <a:srgbClr val="ffffff"/>
    </a:solidFill>
    <a:ln>
      <a:noFill/>
    </a:ln>
  </c:spPr>
</c:chartSpace>
</file>

<file path=xl/charts/chart17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layout>
        <c:manualLayout>
          <c:xMode val="edge"/>
          <c:yMode val="edge"/>
          <c:x val="0.390260869565217"/>
          <c:y val="0.0240709459459459"/>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362898550724638"/>
          <c:y val="0.174197635135135"/>
          <c:w val="0.484753623188406"/>
          <c:h val="0.770481418918919"/>
        </c:manualLayout>
      </c:layout>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Pt>
            <c:idx val="5"/>
            <c:spPr>
              <a:solidFill>
                <a:srgbClr val="f7964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
              <c:idx val="5"/>
              <c:dLblPos val="bestFit"/>
              <c:showLegendKey val="0"/>
              <c:showVal val="0"/>
              <c:showCatName val="0"/>
              <c:showSerName val="0"/>
              <c:showPercent val="1"/>
            </c:dLbl>
            <c:dLblPos val="bestFit"/>
            <c:showLegendKey val="0"/>
            <c:showVal val="0"/>
            <c:showCatName val="0"/>
            <c:showSerName val="0"/>
            <c:showPercent val="1"/>
            <c:showLeaderLines val="0"/>
          </c:dLbls>
          <c:cat>
            <c:strRef>
              <c:f>'T.AJUNTAMENT'!$A$77:$A$82</c:f>
              <c:strCache>
                <c:ptCount val="6"/>
                <c:pt idx="0">
                  <c:v>Enllumenat públic</c:v>
                </c:pt>
                <c:pt idx="1">
                  <c:v>Semàfors</c:v>
                </c:pt>
                <c:pt idx="2">
                  <c:v>Equipaments</c:v>
                </c:pt>
                <c:pt idx="3">
                  <c:v>Vehicles municipals</c:v>
                </c:pt>
                <c:pt idx="4">
                  <c:v>Vehicles externalitzats</c:v>
                </c:pt>
                <c:pt idx="5">
                  <c:v>Bombament</c:v>
                </c:pt>
              </c:strCache>
            </c:strRef>
          </c:cat>
          <c:val>
            <c:numRef>
              <c:f>'T.AJUNTAMENT'!$F$77:$F$82</c:f>
              <c:numCache>
                <c:formatCode>General</c:formatCode>
                <c:ptCount val="6"/>
                <c:pt idx="0">
                  <c:v>817.1061855</c:v>
                </c:pt>
                <c:pt idx="1">
                  <c:v>5.9434848</c:v>
                </c:pt>
                <c:pt idx="2">
                  <c:v>1426.9072944186</c:v>
                </c:pt>
                <c:pt idx="3">
                  <c:v>288.648264495</c:v>
                </c:pt>
                <c:pt idx="4">
                  <c:v>154.06180185795</c:v>
                </c:pt>
                <c:pt idx="5">
                  <c:v>5844.90436992</c:v>
                </c:pt>
              </c:numCache>
            </c:numRef>
          </c:val>
        </c:ser>
      </c:pie3DChart>
      <c:spPr>
        <a:solidFill>
          <a:srgbClr val="d9d9d9"/>
        </a:solidFill>
        <a:ln>
          <a:noFill/>
        </a:ln>
      </c:spPr>
    </c:plotArea>
    <c:legend>
      <c:layout>
        <c:manualLayout>
          <c:xMode val="edge"/>
          <c:yMode val="edge"/>
          <c:x val="0.634666666666667"/>
          <c:y val="0.114442567567568"/>
        </c:manualLayout>
      </c:layout>
      <c:spPr>
        <a:noFill/>
        <a:ln>
          <a:noFill/>
        </a:ln>
      </c:spPr>
    </c:legend>
    <c:plotVisOnly val="1"/>
    <c:dispBlanksAs val="zero"/>
  </c:chart>
  <c:spPr>
    <a:solidFill>
      <a:srgbClr val="ffffff"/>
    </a:solidFill>
    <a:ln>
      <a:noFill/>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MUNICIPI'!$A$93:$A$94</c:f>
              <c:strCache>
                <c:ptCount val="2"/>
                <c:pt idx="0">
                  <c:v>EE</c:v>
                </c:pt>
                <c:pt idx="1">
                  <c:v>Gasoil</c:v>
                </c:pt>
              </c:strCache>
            </c:strRef>
          </c:cat>
          <c:val>
            <c:numRef>
              <c:f>'T. MUNICIPI'!$F$93:$F$94</c:f>
              <c:numCache>
                <c:formatCode>General</c:formatCode>
                <c:ptCount val="2"/>
                <c:pt idx="0">
                  <c:v>866.73013547514</c:v>
                </c:pt>
                <c:pt idx="1">
                  <c:v>3920.06090609555</c:v>
                </c:pt>
              </c:numCache>
            </c:numRef>
          </c:val>
        </c:ser>
      </c:pie3DChart>
      <c:spPr>
        <a:solidFill>
          <a:srgbClr val="d9d9d9"/>
        </a:solidFill>
        <a:ln>
          <a:noFill/>
        </a:ln>
      </c:spPr>
    </c:plotArea>
    <c:legend>
      <c:layout>
        <c:manualLayout>
          <c:xMode val="edge"/>
          <c:yMode val="edge"/>
          <c:x val="0.774433045356371"/>
          <c:y val="0.127946127946128"/>
        </c:manualLayout>
      </c:layout>
      <c:spPr>
        <a:noFill/>
        <a:ln>
          <a:noFill/>
        </a:ln>
      </c:spPr>
    </c:legend>
    <c:plotVisOnly val="1"/>
    <c:dispBlanksAs val="zero"/>
  </c:chart>
  <c:spPr>
    <a:solidFill>
      <a:srgbClr val="ffffff"/>
    </a:solidFill>
    <a:ln>
      <a:noFill/>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MUNICIPI'!$A$112:$A$113</c:f>
              <c:strCache>
                <c:ptCount val="2"/>
                <c:pt idx="0">
                  <c:v>EE</c:v>
                </c:pt>
                <c:pt idx="1">
                  <c:v>Gasoil</c:v>
                </c:pt>
              </c:strCache>
            </c:strRef>
          </c:cat>
          <c:val>
            <c:numRef>
              <c:f>'T. MUNICIPI'!$B$112:$B$113</c:f>
              <c:numCache>
                <c:formatCode>General</c:formatCode>
                <c:ptCount val="2"/>
                <c:pt idx="0">
                  <c:v>819.799166043425</c:v>
                </c:pt>
                <c:pt idx="1">
                  <c:v>1703.04824296764</c:v>
                </c:pt>
              </c:numCache>
            </c:numRef>
          </c:val>
        </c:ser>
      </c:pie3DChart>
      <c:spPr>
        <a:solidFill>
          <a:srgbClr val="d9d9d9"/>
        </a:solidFill>
        <a:ln>
          <a:noFill/>
        </a:ln>
      </c:spPr>
    </c:plotArea>
    <c:legend>
      <c:layout>
        <c:manualLayout>
          <c:xMode val="edge"/>
          <c:yMode val="edge"/>
          <c:x val="0.754856614246068"/>
          <c:y val="0.151213027583915"/>
        </c:manualLayout>
      </c:layout>
      <c:spPr>
        <a:noFill/>
        <a:ln>
          <a:noFill/>
        </a:ln>
      </c:spPr>
    </c:legend>
    <c:plotVisOnly val="1"/>
    <c:dispBlanksAs val="zero"/>
  </c:chart>
  <c:spPr>
    <a:solidFill>
      <a:srgbClr val="ffffff"/>
    </a:solidFill>
    <a:ln>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 MUNICIPI'!$A$46</c:f>
              <c:strCache>
                <c:ptCount val="1"/>
                <c:pt idx="0">
                  <c:v>EE</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MUNICIPI'!$B$46:$G$46</c:f>
              <c:numCache>
                <c:formatCode>General</c:formatCode>
                <c:ptCount val="6"/>
                <c:pt idx="0">
                  <c:v>65500.8188</c:v>
                </c:pt>
                <c:pt idx="1">
                  <c:v>72984.4896</c:v>
                </c:pt>
                <c:pt idx="2">
                  <c:v>67234.9524</c:v>
                </c:pt>
                <c:pt idx="3">
                  <c:v>67283.6208</c:v>
                </c:pt>
                <c:pt idx="4">
                  <c:v>68810.5935</c:v>
                </c:pt>
                <c:pt idx="5">
                  <c:v>70093.8544581</c:v>
                </c:pt>
              </c:numCache>
            </c:numRef>
          </c:val>
          <c:smooth val="0"/>
        </c:ser>
        <c:ser>
          <c:idx val="1"/>
          <c:order val="1"/>
          <c:tx>
            <c:strRef>
              <c:f>'T. MUNICIPI'!$A$47</c:f>
              <c:strCache>
                <c:ptCount val="1"/>
                <c:pt idx="0">
                  <c:v>GLP</c:v>
                </c:pt>
              </c:strCache>
            </c:strRef>
          </c:tx>
          <c:spPr>
            <a:solidFill>
              <a:srgbClr val="7030a0"/>
            </a:solidFill>
            <a:ln w="28440">
              <a:solidFill>
                <a:srgbClr val="7030a0"/>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MUNICIPI'!$B$47:$G$47</c:f>
              <c:numCache>
                <c:formatCode>General</c:formatCode>
                <c:ptCount val="6"/>
                <c:pt idx="0">
                  <c:v>2914.37496356828</c:v>
                </c:pt>
                <c:pt idx="1">
                  <c:v>2749.4212255173</c:v>
                </c:pt>
                <c:pt idx="2">
                  <c:v>2570.11875803834</c:v>
                </c:pt>
                <c:pt idx="3">
                  <c:v>2497.0212880217</c:v>
                </c:pt>
                <c:pt idx="4">
                  <c:v>2342.84128533426</c:v>
                </c:pt>
                <c:pt idx="5">
                  <c:v>2155.98165549177</c:v>
                </c:pt>
              </c:numCache>
            </c:numRef>
          </c:val>
          <c:smooth val="0"/>
        </c:ser>
        <c:ser>
          <c:idx val="2"/>
          <c:order val="2"/>
          <c:tx>
            <c:strRef>
              <c:f>'T. MUNICIPI'!$A$48</c:f>
              <c:strCache>
                <c:ptCount val="1"/>
                <c:pt idx="0">
                  <c:v>Gasoil</c:v>
                </c:pt>
              </c:strCache>
            </c:strRef>
          </c:tx>
          <c:spPr>
            <a:solidFill>
              <a:srgbClr val="4bacc6"/>
            </a:solidFill>
            <a:ln w="28440">
              <a:solidFill>
                <a:srgbClr val="4bacc6"/>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MUNICIPI'!$B$48:$G$48</c:f>
              <c:numCache>
                <c:formatCode>General</c:formatCode>
                <c:ptCount val="6"/>
                <c:pt idx="0">
                  <c:v>30869.2682278414</c:v>
                </c:pt>
                <c:pt idx="1">
                  <c:v>34636.8230651947</c:v>
                </c:pt>
                <c:pt idx="2">
                  <c:v>37298.8384259717</c:v>
                </c:pt>
                <c:pt idx="3">
                  <c:v>34760.5028623467</c:v>
                </c:pt>
                <c:pt idx="4">
                  <c:v>32415.3802856088</c:v>
                </c:pt>
                <c:pt idx="5">
                  <c:v>28684.0599147429</c:v>
                </c:pt>
              </c:numCache>
            </c:numRef>
          </c:val>
          <c:smooth val="0"/>
        </c:ser>
        <c:ser>
          <c:idx val="3"/>
          <c:order val="3"/>
          <c:tx>
            <c:strRef>
              <c:f>'T. MUNICIPI'!$A$49</c:f>
              <c:strCache>
                <c:ptCount val="1"/>
                <c:pt idx="0">
                  <c:v>Gasolina</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MUNICIPI'!$B$49:$G$49</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mooth val="0"/>
        </c:ser>
        <c:ser>
          <c:idx val="4"/>
          <c:order val="4"/>
          <c:tx>
            <c:strRef>
              <c:f>'T. MUNICIPI'!$A$50</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MUNICIPI'!$B$50:$G$50</c:f>
              <c:numCache>
                <c:formatCode>General</c:formatCode>
                <c:ptCount val="6"/>
                <c:pt idx="0">
                  <c:v>943.914562292007</c:v>
                </c:pt>
                <c:pt idx="1">
                  <c:v>841.263894195941</c:v>
                </c:pt>
                <c:pt idx="2">
                  <c:v>828.435551819952</c:v>
                </c:pt>
                <c:pt idx="3">
                  <c:v>940.422811702443</c:v>
                </c:pt>
                <c:pt idx="4">
                  <c:v>0</c:v>
                </c:pt>
                <c:pt idx="5">
                  <c:v>0</c:v>
                </c:pt>
              </c:numCache>
            </c:numRef>
          </c:val>
          <c:smooth val="0"/>
        </c:ser>
        <c:hiLowLines>
          <c:spPr>
            <a:ln>
              <a:noFill/>
            </a:ln>
          </c:spPr>
        </c:hiLowLines>
        <c:marker val="0"/>
        <c:axId val="76332793"/>
        <c:axId val="48787730"/>
      </c:lineChart>
      <c:catAx>
        <c:axId val="76332793"/>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48787730"/>
        <c:crosses val="autoZero"/>
        <c:auto val="1"/>
        <c:lblAlgn val="ctr"/>
        <c:lblOffset val="100"/>
      </c:catAx>
      <c:valAx>
        <c:axId val="4878773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ea typeface="Arial"/>
                  </a:defRPr>
                </a:pPr>
                <a:r>
                  <a:rPr b="1" sz="1000" spc="-1" strike="noStrike">
                    <a:solidFill>
                      <a:srgbClr val="000000"/>
                    </a:solidFill>
                    <a:uFill>
                      <a:solidFill>
                        <a:srgbClr val="ffffff"/>
                      </a:solidFill>
                    </a:uFill>
                    <a:latin typeface="Calibri"/>
                    <a:ea typeface="Arial"/>
                  </a:rPr>
                  <a:t>t CO2 municipi</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76332793"/>
        <c:crosses val="autoZero"/>
        <c:crossBetween val="midCat"/>
      </c:valAx>
      <c:spPr>
        <a:solidFill>
          <a:srgbClr val="ffffff"/>
        </a:solidFill>
        <a:ln>
          <a:noFill/>
        </a:ln>
      </c:spPr>
    </c:plotArea>
    <c:legend>
      <c:layout>
        <c:manualLayout>
          <c:xMode val="edge"/>
          <c:yMode val="edge"/>
          <c:x val="0.787471673680803"/>
          <c:y val="0.197834954502667"/>
        </c:manualLayout>
      </c:layout>
      <c:spPr>
        <a:noFill/>
        <a:ln>
          <a:noFill/>
        </a:ln>
      </c:spPr>
    </c:legend>
    <c:plotVisOnly val="1"/>
    <c:dispBlanksAs val="gap"/>
  </c:chart>
  <c:spPr>
    <a:solidFill>
      <a:srgbClr val="ffffff"/>
    </a:solidFill>
    <a:ln>
      <a:solidFill>
        <a:srgbClr val="000000"/>
      </a:solidFill>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MUNICIPI'!$A$112:$A$113</c:f>
              <c:strCache>
                <c:ptCount val="2"/>
                <c:pt idx="0">
                  <c:v>EE</c:v>
                </c:pt>
                <c:pt idx="1">
                  <c:v>Gasoil</c:v>
                </c:pt>
              </c:strCache>
            </c:strRef>
          </c:cat>
          <c:val>
            <c:numRef>
              <c:f>'T. MUNICIPI'!$F$112:$F$113</c:f>
              <c:numCache>
                <c:formatCode>General</c:formatCode>
                <c:ptCount val="2"/>
                <c:pt idx="0">
                  <c:v>735.073827896466</c:v>
                </c:pt>
                <c:pt idx="1">
                  <c:v>1046.65626192751</c:v>
                </c:pt>
              </c:numCache>
            </c:numRef>
          </c:val>
        </c:ser>
      </c:pie3DChart>
      <c:spPr>
        <a:solidFill>
          <a:srgbClr val="d9d9d9"/>
        </a:solidFill>
        <a:ln>
          <a:noFill/>
        </a:ln>
      </c:spPr>
    </c:plotArea>
    <c:legend>
      <c:layout>
        <c:manualLayout>
          <c:xMode val="edge"/>
          <c:yMode val="edge"/>
          <c:x val="0.76957343412527"/>
          <c:y val="0.126952475905616"/>
        </c:manualLayout>
      </c:layout>
      <c:spPr>
        <a:noFill/>
        <a:ln>
          <a:noFill/>
        </a:ln>
      </c:spPr>
    </c:legend>
    <c:plotVisOnly val="1"/>
    <c:dispBlanksAs val="zero"/>
  </c:chart>
  <c:spPr>
    <a:solidFill>
      <a:srgbClr val="ffffff"/>
    </a:solidFill>
    <a:ln>
      <a:noFill/>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MUNICIPI'!$A$137:$A$140</c:f>
              <c:strCache>
                <c:ptCount val="4"/>
                <c:pt idx="0">
                  <c:v>EE</c:v>
                </c:pt>
                <c:pt idx="1">
                  <c:v>GLP</c:v>
                </c:pt>
                <c:pt idx="2">
                  <c:v>Gasoil</c:v>
                </c:pt>
                <c:pt idx="3">
                  <c:v>Fueloil</c:v>
                </c:pt>
              </c:strCache>
            </c:strRef>
          </c:cat>
          <c:val>
            <c:numRef>
              <c:f>'T. MUNICIPI'!$B$137:$B$140</c:f>
              <c:numCache>
                <c:formatCode>General</c:formatCode>
                <c:ptCount val="4"/>
                <c:pt idx="0">
                  <c:v>3803.70324535224</c:v>
                </c:pt>
                <c:pt idx="1">
                  <c:v>493.693830596128</c:v>
                </c:pt>
                <c:pt idx="2">
                  <c:v>9058.92768938543</c:v>
                </c:pt>
                <c:pt idx="3">
                  <c:v>3382.60694765981</c:v>
                </c:pt>
              </c:numCache>
            </c:numRef>
          </c:val>
        </c:ser>
      </c:pie3DChart>
      <c:spPr>
        <a:solidFill>
          <a:srgbClr val="d9d9d9"/>
        </a:solidFill>
        <a:ln>
          <a:noFill/>
        </a:ln>
      </c:spPr>
    </c:plotArea>
    <c:legend>
      <c:layout>
        <c:manualLayout>
          <c:xMode val="edge"/>
          <c:yMode val="edge"/>
          <c:x val="0.799127791727237"/>
          <c:y val="0.128072712249535"/>
        </c:manualLayout>
      </c:layout>
      <c:spPr>
        <a:noFill/>
        <a:ln>
          <a:noFill/>
        </a:ln>
      </c:spPr>
    </c:legend>
    <c:plotVisOnly val="1"/>
    <c:dispBlanksAs val="zero"/>
  </c:chart>
  <c:spPr>
    <a:solidFill>
      <a:srgbClr val="ffffff"/>
    </a:solidFill>
    <a:ln>
      <a:noFill/>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MUNICIPI'!$A$137:$A$140</c:f>
              <c:strCache>
                <c:ptCount val="4"/>
                <c:pt idx="0">
                  <c:v>EE</c:v>
                </c:pt>
                <c:pt idx="1">
                  <c:v>GLP</c:v>
                </c:pt>
                <c:pt idx="2">
                  <c:v>Gasoil</c:v>
                </c:pt>
                <c:pt idx="3">
                  <c:v>Fueloil</c:v>
                </c:pt>
              </c:strCache>
            </c:strRef>
          </c:cat>
          <c:val>
            <c:numRef>
              <c:f>'T. MUNICIPI'!$F$137:$F$140</c:f>
              <c:numCache>
                <c:formatCode>General</c:formatCode>
                <c:ptCount val="4"/>
                <c:pt idx="0">
                  <c:v>3326.1667030197</c:v>
                </c:pt>
                <c:pt idx="1">
                  <c:v>413.569281112564</c:v>
                </c:pt>
                <c:pt idx="2">
                  <c:v>9768.84146780733</c:v>
                </c:pt>
                <c:pt idx="3">
                  <c:v>0</c:v>
                </c:pt>
              </c:numCache>
            </c:numRef>
          </c:val>
        </c:ser>
      </c:pie3DChart>
      <c:spPr>
        <a:solidFill>
          <a:srgbClr val="d9d9d9"/>
        </a:solidFill>
        <a:ln>
          <a:noFill/>
        </a:ln>
      </c:spPr>
    </c:plotArea>
    <c:legend>
      <c:layout>
        <c:manualLayout>
          <c:xMode val="edge"/>
          <c:yMode val="edge"/>
          <c:x val="0.789281857451404"/>
          <c:y val="0.14379622021364"/>
        </c:manualLayout>
      </c:layout>
      <c:spPr>
        <a:noFill/>
        <a:ln>
          <a:noFill/>
        </a:ln>
      </c:spPr>
    </c:legend>
    <c:plotVisOnly val="1"/>
    <c:dispBlanksAs val="zero"/>
  </c:chart>
  <c:spPr>
    <a:solidFill>
      <a:srgbClr val="ffffff"/>
    </a:solidFill>
    <a:ln>
      <a:noFill/>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MUNICIPI'!$A$146:$A$149</c:f>
              <c:strCache>
                <c:ptCount val="4"/>
                <c:pt idx="0">
                  <c:v>EE</c:v>
                </c:pt>
                <c:pt idx="1">
                  <c:v>GLP</c:v>
                </c:pt>
                <c:pt idx="2">
                  <c:v>Gasoil</c:v>
                </c:pt>
                <c:pt idx="3">
                  <c:v>Fueloil</c:v>
                </c:pt>
              </c:strCache>
            </c:strRef>
          </c:cat>
          <c:val>
            <c:numRef>
              <c:f>'T. MUNICIPI'!$B$146:$B$149</c:f>
              <c:numCache>
                <c:formatCode>General</c:formatCode>
                <c:ptCount val="4"/>
                <c:pt idx="0">
                  <c:v>3209.56479842822</c:v>
                </c:pt>
                <c:pt idx="1">
                  <c:v>131.816252769166</c:v>
                </c:pt>
                <c:pt idx="2">
                  <c:v>2418.73369306591</c:v>
                </c:pt>
                <c:pt idx="3">
                  <c:v>943.830950344547</c:v>
                </c:pt>
              </c:numCache>
            </c:numRef>
          </c:val>
        </c:ser>
      </c:pie3DChart>
      <c:spPr>
        <a:solidFill>
          <a:srgbClr val="d9d9d9"/>
        </a:solidFill>
        <a:ln>
          <a:noFill/>
        </a:ln>
      </c:spPr>
    </c:plotArea>
    <c:legend>
      <c:layout>
        <c:manualLayout>
          <c:xMode val="edge"/>
          <c:yMode val="edge"/>
          <c:x val="0.78432668164398"/>
          <c:y val="0.113802674741358"/>
        </c:manualLayout>
      </c:layout>
      <c:spPr>
        <a:noFill/>
        <a:ln>
          <a:noFill/>
        </a:ln>
      </c:spPr>
    </c:legend>
    <c:plotVisOnly val="1"/>
    <c:dispBlanksAs val="zero"/>
  </c:chart>
  <c:spPr>
    <a:solidFill>
      <a:srgbClr val="ffffff"/>
    </a:solidFill>
    <a:ln>
      <a:noFill/>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MUNICIPI'!$A$146:$A$149</c:f>
              <c:strCache>
                <c:ptCount val="4"/>
                <c:pt idx="0">
                  <c:v>EE</c:v>
                </c:pt>
                <c:pt idx="1">
                  <c:v>GLP</c:v>
                </c:pt>
                <c:pt idx="2">
                  <c:v>Gasoil</c:v>
                </c:pt>
                <c:pt idx="3">
                  <c:v>Fueloil</c:v>
                </c:pt>
              </c:strCache>
            </c:strRef>
          </c:cat>
          <c:val>
            <c:numRef>
              <c:f>'T. MUNICIPI'!$F$146:$F$149</c:f>
              <c:numCache>
                <c:formatCode>General</c:formatCode>
                <c:ptCount val="4"/>
                <c:pt idx="0">
                  <c:v>2820.92198083101</c:v>
                </c:pt>
                <c:pt idx="1">
                  <c:v>110.422998057055</c:v>
                </c:pt>
                <c:pt idx="2">
                  <c:v>2608.28067190456</c:v>
                </c:pt>
                <c:pt idx="3">
                  <c:v>0</c:v>
                </c:pt>
              </c:numCache>
            </c:numRef>
          </c:val>
        </c:ser>
      </c:pie3DChart>
      <c:spPr>
        <a:solidFill>
          <a:srgbClr val="d9d9d9"/>
        </a:solidFill>
        <a:ln>
          <a:noFill/>
        </a:ln>
      </c:spPr>
    </c:plotArea>
    <c:legend>
      <c:layout>
        <c:manualLayout>
          <c:xMode val="edge"/>
          <c:yMode val="edge"/>
          <c:x val="0.759719222462203"/>
          <c:y val="0.0991672975018925"/>
        </c:manualLayout>
      </c:layout>
      <c:spPr>
        <a:noFill/>
        <a:ln>
          <a:noFill/>
        </a:ln>
      </c:spPr>
    </c:legend>
    <c:plotVisOnly val="1"/>
    <c:dispBlanksAs val="zero"/>
  </c:chart>
  <c:spPr>
    <a:solidFill>
      <a:srgbClr val="ffffff"/>
    </a:solidFill>
    <a:ln>
      <a:noFill/>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MUNICIPI'!$A$33</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MUNICIPI'!$B$33:$G$33</c:f>
              <c:numCache>
                <c:formatCode>General</c:formatCode>
                <c:ptCount val="6"/>
                <c:pt idx="0">
                  <c:v>3382.90663205931</c:v>
                </c:pt>
                <c:pt idx="1">
                  <c:v>3014.98810254877</c:v>
                </c:pt>
                <c:pt idx="2">
                  <c:v>2968.98631816385</c:v>
                </c:pt>
                <c:pt idx="3">
                  <c:v>3370.33153874866</c:v>
                </c:pt>
                <c:pt idx="4">
                  <c:v>0</c:v>
                </c:pt>
                <c:pt idx="5">
                  <c:v>0</c:v>
                </c:pt>
              </c:numCache>
            </c:numRef>
          </c:val>
        </c:ser>
        <c:ser>
          <c:idx val="1"/>
          <c:order val="1"/>
          <c:tx>
            <c:strRef>
              <c:f>'T. MUNICIPI'!$A$32</c:f>
              <c:strCache>
                <c:ptCount val="1"/>
                <c:pt idx="0">
                  <c:v>Gasolina</c:v>
                </c:pt>
              </c:strCache>
            </c:strRef>
          </c:tx>
          <c:spPr>
            <a:solidFill>
              <a:srgbClr val="4bacc6"/>
            </a:solidFill>
            <a:ln>
              <a:noFill/>
            </a:ln>
          </c:spPr>
          <c:invertIfNegative val="0"/>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MUNICIPI'!$B$32:$G$32</c:f>
              <c:numCache>
                <c:formatCode>General</c:formatCode>
                <c:ptCount val="6"/>
                <c:pt idx="0">
                  <c:v>34836.8314454196</c:v>
                </c:pt>
                <c:pt idx="1">
                  <c:v>35409.5394101154</c:v>
                </c:pt>
                <c:pt idx="2">
                  <c:v>35196.5507080797</c:v>
                </c:pt>
                <c:pt idx="3">
                  <c:v>33553.6409992852</c:v>
                </c:pt>
                <c:pt idx="4">
                  <c:v>31985.7961396805</c:v>
                </c:pt>
                <c:pt idx="5">
                  <c:v>30823.9985122559</c:v>
                </c:pt>
              </c:numCache>
            </c:numRef>
          </c:val>
        </c:ser>
        <c:ser>
          <c:idx val="2"/>
          <c:order val="2"/>
          <c:tx>
            <c:strRef>
              <c:f>'T. MUNICIPI'!$A$31</c:f>
              <c:strCache>
                <c:ptCount val="1"/>
                <c:pt idx="0">
                  <c:v>Gasoil</c:v>
                </c:pt>
              </c:strCache>
            </c:strRef>
          </c:tx>
          <c:spPr>
            <a:solidFill>
              <a:srgbClr val="8064a2"/>
            </a:solidFill>
            <a:ln>
              <a:noFill/>
            </a:ln>
          </c:spPr>
          <c:invertIfNegative val="0"/>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MUNICIPI'!$B$31:$G$31</c:f>
              <c:numCache>
                <c:formatCode>General</c:formatCode>
                <c:ptCount val="6"/>
                <c:pt idx="0">
                  <c:v>115615.236808395</c:v>
                </c:pt>
                <c:pt idx="1">
                  <c:v>129725.929083126</c:v>
                </c:pt>
                <c:pt idx="2">
                  <c:v>139696.02406731</c:v>
                </c:pt>
                <c:pt idx="3">
                  <c:v>130189.149297179</c:v>
                </c:pt>
                <c:pt idx="4">
                  <c:v>121405.918672692</c:v>
                </c:pt>
                <c:pt idx="5">
                  <c:v>107430.936010273</c:v>
                </c:pt>
              </c:numCache>
            </c:numRef>
          </c:val>
        </c:ser>
        <c:ser>
          <c:idx val="3"/>
          <c:order val="3"/>
          <c:tx>
            <c:strRef>
              <c:f>'T. MUNICIPI'!$A$30</c:f>
              <c:strCache>
                <c:ptCount val="1"/>
                <c:pt idx="0">
                  <c:v>GLP</c:v>
                </c:pt>
              </c:strCache>
            </c:strRef>
          </c:tx>
          <c:spPr>
            <a:solidFill>
              <a:srgbClr val="4f81bd"/>
            </a:solidFill>
            <a:ln>
              <a:noFill/>
            </a:ln>
          </c:spPr>
          <c:invertIfNegative val="0"/>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MUNICIPI'!$B$30:$G$30</c:f>
              <c:numCache>
                <c:formatCode>General</c:formatCode>
                <c:ptCount val="6"/>
                <c:pt idx="0">
                  <c:v>10915.2620358363</c:v>
                </c:pt>
                <c:pt idx="1">
                  <c:v>10297.457773473</c:v>
                </c:pt>
                <c:pt idx="2">
                  <c:v>9625.91295145444</c:v>
                </c:pt>
                <c:pt idx="3">
                  <c:v>9352.13965551199</c:v>
                </c:pt>
                <c:pt idx="4">
                  <c:v>8774.68646192605</c:v>
                </c:pt>
                <c:pt idx="5">
                  <c:v>8074.83766101786</c:v>
                </c:pt>
              </c:numCache>
            </c:numRef>
          </c:val>
        </c:ser>
        <c:ser>
          <c:idx val="4"/>
          <c:order val="4"/>
          <c:tx>
            <c:strRef>
              <c:f>'T. MUNICIPI'!$A$29</c:f>
              <c:strCache>
                <c:ptCount val="1"/>
                <c:pt idx="0">
                  <c:v>EE</c:v>
                </c:pt>
              </c:strCache>
            </c:strRef>
          </c:tx>
          <c:spPr>
            <a:solidFill>
              <a:srgbClr val="9bbb59"/>
            </a:solidFill>
            <a:ln>
              <a:noFill/>
            </a:ln>
          </c:spPr>
          <c:invertIfNegative val="0"/>
          <c:dLbls>
            <c:showLegendKey val="0"/>
            <c:showVal val="0"/>
            <c:showCatName val="0"/>
            <c:showSerName val="0"/>
            <c:showPercent val="0"/>
            <c:showLeaderLines val="0"/>
          </c:dLbls>
          <c:cat>
            <c:strRef>
              <c:f>'T. MUNICIPI'!$B$28:$G$28</c:f>
              <c:strCache>
                <c:ptCount val="6"/>
                <c:pt idx="0">
                  <c:v>2005</c:v>
                </c:pt>
                <c:pt idx="1">
                  <c:v>2006</c:v>
                </c:pt>
                <c:pt idx="2">
                  <c:v>2007</c:v>
                </c:pt>
                <c:pt idx="3">
                  <c:v>2008</c:v>
                </c:pt>
                <c:pt idx="4">
                  <c:v>2009</c:v>
                </c:pt>
                <c:pt idx="5">
                  <c:v>2010</c:v>
                </c:pt>
              </c:strCache>
            </c:strRef>
          </c:cat>
          <c:val>
            <c:numRef>
              <c:f>'T. MUNICIPI'!$B$29:$G$29</c:f>
              <c:numCache>
                <c:formatCode>General</c:formatCode>
                <c:ptCount val="6"/>
                <c:pt idx="0">
                  <c:v>77626</c:v>
                </c:pt>
                <c:pt idx="1">
                  <c:v>80344</c:v>
                </c:pt>
                <c:pt idx="2">
                  <c:v>81884</c:v>
                </c:pt>
                <c:pt idx="3">
                  <c:v>81339</c:v>
                </c:pt>
                <c:pt idx="4">
                  <c:v>81135</c:v>
                </c:pt>
                <c:pt idx="5">
                  <c:v>82648.101</c:v>
                </c:pt>
              </c:numCache>
            </c:numRef>
          </c:val>
        </c:ser>
        <c:gapWidth val="150"/>
        <c:overlap val="100"/>
        <c:axId val="15535152"/>
        <c:axId val="60285608"/>
      </c:barChart>
      <c:catAx>
        <c:axId val="15535152"/>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0285608"/>
        <c:crosses val="autoZero"/>
        <c:auto val="1"/>
        <c:lblAlgn val="ctr"/>
        <c:lblOffset val="100"/>
      </c:catAx>
      <c:valAx>
        <c:axId val="60285608"/>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municipi</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5535152"/>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MUNICIPI'!$A$69</c:f>
              <c:strCache>
                <c:ptCount val="1"/>
                <c:pt idx="0">
                  <c:v>Aigua</c:v>
                </c:pt>
              </c:strCache>
            </c:strRef>
          </c:tx>
          <c:spPr>
            <a:solidFill>
              <a:srgbClr val="ab4744"/>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MUNICIPI'!$B$69:$G$69</c:f>
              <c:numCache>
                <c:formatCode>General</c:formatCode>
                <c:ptCount val="6"/>
                <c:pt idx="0">
                  <c:v>5995.91889</c:v>
                </c:pt>
                <c:pt idx="1">
                  <c:v>6675.81246</c:v>
                </c:pt>
                <c:pt idx="2">
                  <c:v>6770.58768</c:v>
                </c:pt>
                <c:pt idx="3">
                  <c:v>7106.3724</c:v>
                </c:pt>
                <c:pt idx="4">
                  <c:v>7323.80208</c:v>
                </c:pt>
                <c:pt idx="5">
                  <c:v>4559.93507</c:v>
                </c:pt>
              </c:numCache>
            </c:numRef>
          </c:val>
        </c:ser>
        <c:ser>
          <c:idx val="1"/>
          <c:order val="1"/>
          <c:tx>
            <c:strRef>
              <c:f>'T. MUNICIPI'!$A$68</c:f>
              <c:strCache>
                <c:ptCount val="1"/>
                <c:pt idx="0">
                  <c:v>Transport</c:v>
                </c:pt>
              </c:strCache>
            </c:strRef>
          </c:tx>
          <c:spPr>
            <a:solidFill>
              <a:srgbClr val="8aa64f"/>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MUNICIPI'!$B$68:$G$68</c:f>
              <c:numCache>
                <c:formatCode>General</c:formatCode>
                <c:ptCount val="6"/>
                <c:pt idx="0">
                  <c:v>87085.2108593324</c:v>
                </c:pt>
                <c:pt idx="1">
                  <c:v>91373.5963198209</c:v>
                </c:pt>
                <c:pt idx="2">
                  <c:v>95465.9694602215</c:v>
                </c:pt>
                <c:pt idx="3">
                  <c:v>93525.8419992048</c:v>
                </c:pt>
                <c:pt idx="4">
                  <c:v>89315.9404665966</c:v>
                </c:pt>
                <c:pt idx="5">
                  <c:v>86964.2769444402</c:v>
                </c:pt>
              </c:numCache>
            </c:numRef>
          </c:val>
        </c:ser>
        <c:ser>
          <c:idx val="2"/>
          <c:order val="2"/>
          <c:tx>
            <c:strRef>
              <c:f>'T. MUNICIPI'!$A$67</c:f>
              <c:strCache>
                <c:ptCount val="1"/>
                <c:pt idx="0">
                  <c:v>Domèstic</c:v>
                </c:pt>
              </c:strCache>
            </c:strRef>
          </c:tx>
          <c:spPr>
            <a:solidFill>
              <a:srgbClr val="725990"/>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MUNICIPI'!$B$67:$G$67</c:f>
              <c:numCache>
                <c:formatCode>General</c:formatCode>
                <c:ptCount val="6"/>
                <c:pt idx="0">
                  <c:v>72157.5889450002</c:v>
                </c:pt>
                <c:pt idx="1">
                  <c:v>77244.8108713911</c:v>
                </c:pt>
                <c:pt idx="2">
                  <c:v>81155.7216523405</c:v>
                </c:pt>
                <c:pt idx="3">
                  <c:v>77810.8814395767</c:v>
                </c:pt>
                <c:pt idx="4">
                  <c:v>74107.3940507986</c:v>
                </c:pt>
                <c:pt idx="5">
                  <c:v>73595.575928495</c:v>
                </c:pt>
              </c:numCache>
            </c:numRef>
          </c:val>
        </c:ser>
        <c:ser>
          <c:idx val="3"/>
          <c:order val="3"/>
          <c:tx>
            <c:strRef>
              <c:f>'T. MUNICIPI'!$A$66</c:f>
              <c:strCache>
                <c:ptCount val="1"/>
                <c:pt idx="0">
                  <c:v>Serveis</c:v>
                </c:pt>
              </c:strCache>
            </c:strRef>
          </c:tx>
          <c:spPr>
            <a:solidFill>
              <a:srgbClr val="4299b0"/>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MUNICIPI'!$B$66:$G$66</c:f>
              <c:numCache>
                <c:formatCode>General</c:formatCode>
                <c:ptCount val="6"/>
                <c:pt idx="0">
                  <c:v>53048.5724228357</c:v>
                </c:pt>
                <c:pt idx="1">
                  <c:v>58521.2334756521</c:v>
                </c:pt>
                <c:pt idx="2">
                  <c:v>60631.2329149267</c:v>
                </c:pt>
                <c:pt idx="3">
                  <c:v>55664.131999549</c:v>
                </c:pt>
                <c:pt idx="4">
                  <c:v>54258.8961833933</c:v>
                </c:pt>
                <c:pt idx="5">
                  <c:v>48642.070491704</c:v>
                </c:pt>
              </c:numCache>
            </c:numRef>
          </c:val>
        </c:ser>
        <c:ser>
          <c:idx val="4"/>
          <c:order val="4"/>
          <c:tx>
            <c:strRef>
              <c:f>'T. MUNICIPI'!$A$65</c:f>
              <c:strCache>
                <c:ptCount val="1"/>
                <c:pt idx="0">
                  <c:v>Industrial</c:v>
                </c:pt>
              </c:strCache>
            </c:strRef>
          </c:tx>
          <c:spPr>
            <a:solidFill>
              <a:srgbClr val="dc853e"/>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MUNICIPI'!$B$65:$G$65</c:f>
              <c:numCache>
                <c:formatCode>General</c:formatCode>
                <c:ptCount val="6"/>
                <c:pt idx="0">
                  <c:v>16738.9317129936</c:v>
                </c:pt>
                <c:pt idx="1">
                  <c:v>18366.0185300632</c:v>
                </c:pt>
                <c:pt idx="2">
                  <c:v>19530.2266933774</c:v>
                </c:pt>
                <c:pt idx="3">
                  <c:v>18037.7604890509</c:v>
                </c:pt>
                <c:pt idx="4">
                  <c:v>13508.5774519396</c:v>
                </c:pt>
                <c:pt idx="5">
                  <c:v>11210.9437002431</c:v>
                </c:pt>
              </c:numCache>
            </c:numRef>
          </c:val>
        </c:ser>
        <c:ser>
          <c:idx val="5"/>
          <c:order val="5"/>
          <c:tx>
            <c:strRef>
              <c:f>'T. MUNICIPI'!$A$64</c:f>
              <c:strCache>
                <c:ptCount val="1"/>
                <c:pt idx="0">
                  <c:v>Primari</c:v>
                </c:pt>
              </c:strCache>
            </c:strRef>
          </c:tx>
          <c:spPr>
            <a:solidFill>
              <a:srgbClr val="d09493"/>
            </a:solidFill>
            <a:ln>
              <a:noFill/>
            </a:ln>
          </c:spPr>
          <c:invertIfNegative val="0"/>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MUNICIPI'!$B$64:$G$64</c:f>
              <c:numCache>
                <c:formatCode>General</c:formatCode>
                <c:ptCount val="6"/>
                <c:pt idx="0">
                  <c:v>7350.01409154809</c:v>
                </c:pt>
                <c:pt idx="1">
                  <c:v>6610.44271233593</c:v>
                </c:pt>
                <c:pt idx="2">
                  <c:v>5817.73564414169</c:v>
                </c:pt>
                <c:pt idx="3">
                  <c:v>5659.27316334296</c:v>
                </c:pt>
                <c:pt idx="4">
                  <c:v>4786.79104157069</c:v>
                </c:pt>
                <c:pt idx="5">
                  <c:v>4005.07104866436</c:v>
                </c:pt>
              </c:numCache>
            </c:numRef>
          </c:val>
        </c:ser>
        <c:gapWidth val="150"/>
        <c:overlap val="100"/>
        <c:axId val="34058938"/>
        <c:axId val="65780890"/>
      </c:barChart>
      <c:catAx>
        <c:axId val="34058938"/>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5780890"/>
        <c:crosses val="autoZero"/>
        <c:auto val="1"/>
        <c:lblAlgn val="ctr"/>
        <c:lblOffset val="100"/>
      </c:catAx>
      <c:valAx>
        <c:axId val="6578089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municipi</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4058938"/>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MUNICIPI'!$A$50</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MUNICIPI'!$B$50:$G$50</c:f>
              <c:numCache>
                <c:formatCode>General</c:formatCode>
                <c:ptCount val="6"/>
                <c:pt idx="0">
                  <c:v>943.914562292007</c:v>
                </c:pt>
                <c:pt idx="1">
                  <c:v>841.263894195941</c:v>
                </c:pt>
                <c:pt idx="2">
                  <c:v>828.435551819952</c:v>
                </c:pt>
                <c:pt idx="3">
                  <c:v>940.422811702443</c:v>
                </c:pt>
                <c:pt idx="4">
                  <c:v>0</c:v>
                </c:pt>
                <c:pt idx="5">
                  <c:v>0</c:v>
                </c:pt>
              </c:numCache>
            </c:numRef>
          </c:val>
        </c:ser>
        <c:ser>
          <c:idx val="1"/>
          <c:order val="1"/>
          <c:tx>
            <c:strRef>
              <c:f>'T. MUNICIPI'!$A$49</c:f>
              <c:strCache>
                <c:ptCount val="1"/>
                <c:pt idx="0">
                  <c:v>Gasolina</c:v>
                </c:pt>
              </c:strCache>
            </c:strRef>
          </c:tx>
          <c:spPr>
            <a:solidFill>
              <a:srgbClr val="4bacc6"/>
            </a:solidFill>
            <a:ln>
              <a:noFill/>
            </a:ln>
          </c:spPr>
          <c:invertIfNegative val="0"/>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MUNICIPI'!$B$49:$G$49</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er>
        <c:ser>
          <c:idx val="2"/>
          <c:order val="2"/>
          <c:tx>
            <c:strRef>
              <c:f>'T. MUNICIPI'!$A$48</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MUNICIPI'!$B$48:$G$48</c:f>
              <c:numCache>
                <c:formatCode>General</c:formatCode>
                <c:ptCount val="6"/>
                <c:pt idx="0">
                  <c:v>30869.2682278414</c:v>
                </c:pt>
                <c:pt idx="1">
                  <c:v>34636.8230651947</c:v>
                </c:pt>
                <c:pt idx="2">
                  <c:v>37298.8384259717</c:v>
                </c:pt>
                <c:pt idx="3">
                  <c:v>34760.5028623467</c:v>
                </c:pt>
                <c:pt idx="4">
                  <c:v>32415.3802856088</c:v>
                </c:pt>
                <c:pt idx="5">
                  <c:v>28684.0599147429</c:v>
                </c:pt>
              </c:numCache>
            </c:numRef>
          </c:val>
        </c:ser>
        <c:ser>
          <c:idx val="3"/>
          <c:order val="3"/>
          <c:tx>
            <c:strRef>
              <c:f>'T. MUNICIPI'!$A$47</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MUNICIPI'!$B$47:$G$47</c:f>
              <c:numCache>
                <c:formatCode>General</c:formatCode>
                <c:ptCount val="6"/>
                <c:pt idx="0">
                  <c:v>2914.37496356828</c:v>
                </c:pt>
                <c:pt idx="1">
                  <c:v>2749.4212255173</c:v>
                </c:pt>
                <c:pt idx="2">
                  <c:v>2570.11875803834</c:v>
                </c:pt>
                <c:pt idx="3">
                  <c:v>2497.0212880217</c:v>
                </c:pt>
                <c:pt idx="4">
                  <c:v>2342.84128533426</c:v>
                </c:pt>
                <c:pt idx="5">
                  <c:v>2155.98165549177</c:v>
                </c:pt>
              </c:numCache>
            </c:numRef>
          </c:val>
        </c:ser>
        <c:ser>
          <c:idx val="4"/>
          <c:order val="4"/>
          <c:tx>
            <c:strRef>
              <c:f>'T. MUNICIPI'!$A$46</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MUNICIPI'!$B$45:$G$45</c:f>
              <c:strCache>
                <c:ptCount val="6"/>
                <c:pt idx="0">
                  <c:v>2005</c:v>
                </c:pt>
                <c:pt idx="1">
                  <c:v>2006</c:v>
                </c:pt>
                <c:pt idx="2">
                  <c:v>2007</c:v>
                </c:pt>
                <c:pt idx="3">
                  <c:v>2008</c:v>
                </c:pt>
                <c:pt idx="4">
                  <c:v>2009</c:v>
                </c:pt>
                <c:pt idx="5">
                  <c:v>2010</c:v>
                </c:pt>
              </c:strCache>
            </c:strRef>
          </c:cat>
          <c:val>
            <c:numRef>
              <c:f>'T. MUNICIPI'!$B$46:$G$46</c:f>
              <c:numCache>
                <c:formatCode>General</c:formatCode>
                <c:ptCount val="6"/>
                <c:pt idx="0">
                  <c:v>65500.8188</c:v>
                </c:pt>
                <c:pt idx="1">
                  <c:v>72984.4896</c:v>
                </c:pt>
                <c:pt idx="2">
                  <c:v>67234.9524</c:v>
                </c:pt>
                <c:pt idx="3">
                  <c:v>67283.6208</c:v>
                </c:pt>
                <c:pt idx="4">
                  <c:v>68810.5935</c:v>
                </c:pt>
                <c:pt idx="5">
                  <c:v>70093.8544581</c:v>
                </c:pt>
              </c:numCache>
            </c:numRef>
          </c:val>
        </c:ser>
        <c:gapWidth val="150"/>
        <c:overlap val="100"/>
        <c:axId val="32802865"/>
        <c:axId val="44012933"/>
      </c:barChart>
      <c:catAx>
        <c:axId val="3280286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4012933"/>
        <c:crosses val="autoZero"/>
        <c:auto val="1"/>
        <c:lblAlgn val="ctr"/>
        <c:lblOffset val="100"/>
      </c:catAx>
      <c:valAx>
        <c:axId val="44012933"/>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municipi</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2802865"/>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MUNICIPI'!$A$84</c:f>
              <c:strCache>
                <c:ptCount val="1"/>
                <c:pt idx="0">
                  <c:v>Aigua</c:v>
                </c:pt>
              </c:strCache>
            </c:strRef>
          </c:tx>
          <c:spPr>
            <a:solidFill>
              <a:srgbClr val="d09493"/>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MUNICIPI'!$B$84:$G$84</c:f>
              <c:numCache>
                <c:formatCode>General</c:formatCode>
                <c:ptCount val="6"/>
                <c:pt idx="0">
                  <c:v>5059.356359382</c:v>
                </c:pt>
                <c:pt idx="1">
                  <c:v>6064.308038664</c:v>
                </c:pt>
                <c:pt idx="2">
                  <c:v>5559.329544048</c:v>
                </c:pt>
                <c:pt idx="3">
                  <c:v>5878.39124928</c:v>
                </c:pt>
                <c:pt idx="4">
                  <c:v>6211.316544048</c:v>
                </c:pt>
                <c:pt idx="5">
                  <c:v>3867.280932867</c:v>
                </c:pt>
              </c:numCache>
            </c:numRef>
          </c:val>
        </c:ser>
        <c:ser>
          <c:idx val="1"/>
          <c:order val="1"/>
          <c:tx>
            <c:strRef>
              <c:f>'T. MUNICIPI'!$A$83</c:f>
              <c:strCache>
                <c:ptCount val="1"/>
                <c:pt idx="0">
                  <c:v>Residus</c:v>
                </c:pt>
              </c:strCache>
            </c:strRef>
          </c:tx>
          <c:spPr>
            <a:solidFill>
              <a:srgbClr val="93a9ce"/>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MUNICIPI'!$B$83:$G$83</c:f>
              <c:numCache>
                <c:formatCode>General</c:formatCode>
                <c:ptCount val="6"/>
                <c:pt idx="0">
                  <c:v>8729.33717074606</c:v>
                </c:pt>
                <c:pt idx="1">
                  <c:v>9238.7148318758</c:v>
                </c:pt>
                <c:pt idx="2">
                  <c:v>10218.822147659</c:v>
                </c:pt>
                <c:pt idx="3">
                  <c:v>8981.01779429749</c:v>
                </c:pt>
                <c:pt idx="4">
                  <c:v>8007.43090743706</c:v>
                </c:pt>
                <c:pt idx="5">
                  <c:v>8033.92078866066</c:v>
                </c:pt>
              </c:numCache>
            </c:numRef>
          </c:val>
        </c:ser>
        <c:ser>
          <c:idx val="2"/>
          <c:order val="2"/>
          <c:tx>
            <c:strRef>
              <c:f>'T. MUNICIPI'!$A$82</c:f>
              <c:strCache>
                <c:ptCount val="1"/>
                <c:pt idx="0">
                  <c:v>Transport</c:v>
                </c:pt>
              </c:strCache>
            </c:strRef>
          </c:tx>
          <c:spPr>
            <a:solidFill>
              <a:srgbClr val="dc853e"/>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MUNICIPI'!$B$82:$G$82</c:f>
              <c:numCache>
                <c:formatCode>General</c:formatCode>
                <c:ptCount val="6"/>
                <c:pt idx="0">
                  <c:v>22624.6883334242</c:v>
                </c:pt>
                <c:pt idx="1">
                  <c:v>23759.3785080101</c:v>
                </c:pt>
                <c:pt idx="2">
                  <c:v>24855.8759331337</c:v>
                </c:pt>
                <c:pt idx="3">
                  <c:v>24367.4342758006</c:v>
                </c:pt>
                <c:pt idx="4">
                  <c:v>23271.611774067</c:v>
                </c:pt>
                <c:pt idx="5">
                  <c:v>22664.6299709449</c:v>
                </c:pt>
              </c:numCache>
            </c:numRef>
          </c:val>
        </c:ser>
        <c:ser>
          <c:idx val="3"/>
          <c:order val="3"/>
          <c:tx>
            <c:strRef>
              <c:f>'T. MUNICIPI'!$A$81</c:f>
              <c:strCache>
                <c:ptCount val="1"/>
                <c:pt idx="0">
                  <c:v>Domèstic</c:v>
                </c:pt>
              </c:strCache>
            </c:strRef>
          </c:tx>
          <c:spPr>
            <a:solidFill>
              <a:srgbClr val="4299b0"/>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MUNICIPI'!$B$81:$G$81</c:f>
              <c:numCache>
                <c:formatCode>General</c:formatCode>
                <c:ptCount val="6"/>
                <c:pt idx="0">
                  <c:v>44543.4785467151</c:v>
                </c:pt>
                <c:pt idx="1">
                  <c:v>49471.8977830614</c:v>
                </c:pt>
                <c:pt idx="2">
                  <c:v>47802.6338104749</c:v>
                </c:pt>
                <c:pt idx="3">
                  <c:v>47363.936222367</c:v>
                </c:pt>
                <c:pt idx="4">
                  <c:v>46531.6593420632</c:v>
                </c:pt>
                <c:pt idx="5">
                  <c:v>49294.2576595082</c:v>
                </c:pt>
              </c:numCache>
            </c:numRef>
          </c:val>
        </c:ser>
        <c:ser>
          <c:idx val="4"/>
          <c:order val="4"/>
          <c:tx>
            <c:strRef>
              <c:f>'T. MUNICIPI'!$A$80</c:f>
              <c:strCache>
                <c:ptCount val="1"/>
                <c:pt idx="0">
                  <c:v>Serveis</c:v>
                </c:pt>
              </c:strCache>
            </c:strRef>
          </c:tx>
          <c:spPr>
            <a:solidFill>
              <a:srgbClr val="725990"/>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MUNICIPI'!$B$80:$G$80</c:f>
              <c:numCache>
                <c:formatCode>General</c:formatCode>
                <c:ptCount val="6"/>
                <c:pt idx="0">
                  <c:v>27448.431240471</c:v>
                </c:pt>
                <c:pt idx="1">
                  <c:v>30885.8345728018</c:v>
                </c:pt>
                <c:pt idx="2">
                  <c:v>28963.6674236554</c:v>
                </c:pt>
                <c:pt idx="3">
                  <c:v>27331.9312765058</c:v>
                </c:pt>
                <c:pt idx="4">
                  <c:v>28197.3349089287</c:v>
                </c:pt>
                <c:pt idx="5">
                  <c:v>26503.6441502563</c:v>
                </c:pt>
              </c:numCache>
            </c:numRef>
          </c:val>
        </c:ser>
        <c:ser>
          <c:idx val="5"/>
          <c:order val="5"/>
          <c:tx>
            <c:strRef>
              <c:f>'T. MUNICIPI'!$A$79</c:f>
              <c:strCache>
                <c:ptCount val="1"/>
                <c:pt idx="0">
                  <c:v>Industrial</c:v>
                </c:pt>
              </c:strCache>
            </c:strRef>
          </c:tx>
          <c:spPr>
            <a:solidFill>
              <a:srgbClr val="8aa64f"/>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MUNICIPI'!$B$79:$G$79</c:f>
              <c:numCache>
                <c:formatCode>General</c:formatCode>
                <c:ptCount val="6"/>
                <c:pt idx="0">
                  <c:v>6703.94569460785</c:v>
                </c:pt>
                <c:pt idx="1">
                  <c:v>7433.81950851742</c:v>
                </c:pt>
                <c:pt idx="2">
                  <c:v>7493.65940675562</c:v>
                </c:pt>
                <c:pt idx="3">
                  <c:v>6908.35820287439</c:v>
                </c:pt>
                <c:pt idx="4">
                  <c:v>5539.62565079262</c:v>
                </c:pt>
                <c:pt idx="5">
                  <c:v>4789.79933439371</c:v>
                </c:pt>
              </c:numCache>
            </c:numRef>
          </c:val>
        </c:ser>
        <c:ser>
          <c:idx val="6"/>
          <c:order val="6"/>
          <c:tx>
            <c:strRef>
              <c:f>'T. MUNICIPI'!$A$78</c:f>
              <c:strCache>
                <c:ptCount val="1"/>
                <c:pt idx="0">
                  <c:v>Primari</c:v>
                </c:pt>
              </c:strCache>
            </c:strRef>
          </c:tx>
          <c:spPr>
            <a:solidFill>
              <a:srgbClr val="ab4744"/>
            </a:solidFill>
            <a:ln>
              <a:noFill/>
            </a:ln>
          </c:spPr>
          <c:invertIfNegative val="0"/>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MUNICIPI'!$B$78:$G$78</c:f>
              <c:numCache>
                <c:formatCode>General</c:formatCode>
                <c:ptCount val="6"/>
                <c:pt idx="0">
                  <c:v>2522.84740901107</c:v>
                </c:pt>
                <c:pt idx="1">
                  <c:v>2413.73468697184</c:v>
                </c:pt>
                <c:pt idx="2">
                  <c:v>2021.12014407417</c:v>
                </c:pt>
                <c:pt idx="3">
                  <c:v>1986.37314406509</c:v>
                </c:pt>
                <c:pt idx="4">
                  <c:v>1781.73008982398</c:v>
                </c:pt>
                <c:pt idx="5">
                  <c:v>1489.45960991624</c:v>
                </c:pt>
              </c:numCache>
            </c:numRef>
          </c:val>
        </c:ser>
        <c:gapWidth val="150"/>
        <c:overlap val="100"/>
        <c:axId val="65187725"/>
        <c:axId val="88128119"/>
      </c:barChart>
      <c:catAx>
        <c:axId val="6518772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8128119"/>
        <c:crosses val="autoZero"/>
        <c:auto val="1"/>
        <c:lblAlgn val="ctr"/>
        <c:lblOffset val="100"/>
      </c:catAx>
      <c:valAx>
        <c:axId val="8812811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municipi</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5187725"/>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label 0</c:f>
              <c:strCache>
                <c:ptCount val="1"/>
                <c:pt idx="0">
                  <c:v>EE</c:v>
                </c:pt>
              </c:strCache>
            </c:strRef>
          </c:tx>
          <c:spPr>
            <a:solidFill>
              <a:srgbClr val="c0504d"/>
            </a:solidFill>
            <a:ln w="28440">
              <a:solidFill>
                <a:srgbClr val="c0504d"/>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7158.62062604873</c:v>
                </c:pt>
                <c:pt idx="1">
                  <c:v>7395.75162604871</c:v>
                </c:pt>
                <c:pt idx="2">
                  <c:v>7741.87762604867</c:v>
                </c:pt>
                <c:pt idx="3">
                  <c:v>8576.11862604866</c:v>
                </c:pt>
                <c:pt idx="4">
                  <c:v>8578.52836604867</c:v>
                </c:pt>
                <c:pt idx="5">
                  <c:v>11292.1809460487</c:v>
                </c:pt>
                <c:pt idx="6">
                  <c:v>12092.1608284018</c:v>
                </c:pt>
                <c:pt idx="7">
                  <c:v>10829.8126647807</c:v>
                </c:pt>
              </c:numCache>
            </c:numRef>
          </c:val>
          <c:smooth val="0"/>
        </c:ser>
        <c:ser>
          <c:idx val="1"/>
          <c:order val="1"/>
          <c:tx>
            <c:strRef>
              <c:f>label 1</c:f>
              <c:strCache>
                <c:ptCount val="1"/>
                <c:pt idx="0">
                  <c:v>GN</c:v>
                </c:pt>
              </c:strCache>
            </c:strRef>
          </c:tx>
          <c:spPr>
            <a:solidFill>
              <a:srgbClr val="9bbb59"/>
            </a:solidFill>
            <a:ln w="28440">
              <a:solidFill>
                <a:srgbClr val="9bbb59"/>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1216.227</c:v>
                </c:pt>
                <c:pt idx="1">
                  <c:v>1424.492</c:v>
                </c:pt>
                <c:pt idx="2">
                  <c:v>1917.349</c:v>
                </c:pt>
                <c:pt idx="3">
                  <c:v>1966.778</c:v>
                </c:pt>
                <c:pt idx="4">
                  <c:v>2429.03</c:v>
                </c:pt>
                <c:pt idx="5">
                  <c:v>3292.024</c:v>
                </c:pt>
                <c:pt idx="6">
                  <c:v>2843.322</c:v>
                </c:pt>
                <c:pt idx="7">
                  <c:v>6062.725</c:v>
                </c:pt>
              </c:numCache>
            </c:numRef>
          </c:val>
          <c:smooth val="0"/>
        </c:ser>
        <c:ser>
          <c:idx val="2"/>
          <c:order val="2"/>
          <c:tx>
            <c:strRef>
              <c:f>label 2</c:f>
              <c:strCache>
                <c:ptCount val="1"/>
                <c:pt idx="0">
                  <c:v>GLP</c:v>
                </c:pt>
              </c:strCache>
            </c:strRef>
          </c:tx>
          <c:spPr>
            <a:solidFill>
              <a:srgbClr val="7030a0"/>
            </a:solidFill>
            <a:ln w="28440">
              <a:solidFill>
                <a:srgbClr val="7030a0"/>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992.21724</c:v>
                </c:pt>
                <c:pt idx="1">
                  <c:v>978.453503999999</c:v>
                </c:pt>
                <c:pt idx="2">
                  <c:v>939.385188</c:v>
                </c:pt>
                <c:pt idx="3">
                  <c:v>886.312727999998</c:v>
                </c:pt>
                <c:pt idx="4">
                  <c:v>881.996472</c:v>
                </c:pt>
                <c:pt idx="5">
                  <c:v>845.01984</c:v>
                </c:pt>
                <c:pt idx="6">
                  <c:v>720.3</c:v>
                </c:pt>
                <c:pt idx="7">
                  <c:v>726.523392</c:v>
                </c:pt>
              </c:numCache>
            </c:numRef>
          </c:val>
          <c:smooth val="0"/>
        </c:ser>
        <c:ser>
          <c:idx val="3"/>
          <c:order val="3"/>
          <c:tx>
            <c:strRef>
              <c:f>label 3</c:f>
              <c:strCache>
                <c:ptCount val="1"/>
                <c:pt idx="0">
                  <c:v>CL</c:v>
                </c:pt>
              </c:strCache>
            </c:strRef>
          </c:tx>
          <c:spPr>
            <a:solidFill>
              <a:srgbClr val="4bacc6"/>
            </a:solidFill>
            <a:ln w="28440">
              <a:solidFill>
                <a:srgbClr val="4bacc6"/>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23387.9057291111</c:v>
                </c:pt>
                <c:pt idx="1">
                  <c:v>24621.227153486</c:v>
                </c:pt>
                <c:pt idx="2">
                  <c:v>25117.7407434586</c:v>
                </c:pt>
                <c:pt idx="3">
                  <c:v>26777.4130093726</c:v>
                </c:pt>
                <c:pt idx="4">
                  <c:v>27278.2176217641</c:v>
                </c:pt>
                <c:pt idx="5">
                  <c:v>26816.1450474173</c:v>
                </c:pt>
                <c:pt idx="6">
                  <c:v>27469.307874342</c:v>
                </c:pt>
                <c:pt idx="7">
                  <c:v>27678.2537175427</c:v>
                </c:pt>
              </c:numCache>
            </c:numRef>
          </c:val>
          <c:smooth val="0"/>
        </c:ser>
        <c:hiLowLines>
          <c:spPr>
            <a:ln>
              <a:noFill/>
            </a:ln>
          </c:spPr>
        </c:hiLowLines>
        <c:marker val="0"/>
        <c:axId val="5972382"/>
        <c:axId val="95710292"/>
      </c:lineChart>
      <c:catAx>
        <c:axId val="5972382"/>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95710292"/>
        <c:crosses val="autoZero"/>
        <c:auto val="1"/>
        <c:lblAlgn val="ctr"/>
        <c:lblOffset val="100"/>
      </c:catAx>
      <c:valAx>
        <c:axId val="95710292"/>
        <c:scaling>
          <c:orientation val="minMax"/>
        </c:scaling>
        <c:delete val="0"/>
        <c:axPos val="l"/>
        <c:majorGridlines>
          <c:spPr>
            <a:ln w="9360">
              <a:solidFill>
                <a:srgbClr val="878787"/>
              </a:solidFill>
              <a:round/>
            </a:ln>
          </c:spPr>
        </c:maj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PAES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5972382"/>
        <c:crosses val="autoZero"/>
        <c:crossBetween val="midCat"/>
      </c:valAx>
      <c:spPr>
        <a:solidFill>
          <a:srgbClr val="ffffff"/>
        </a:solidFill>
        <a:ln>
          <a:noFill/>
        </a:ln>
      </c:spPr>
    </c:plotArea>
    <c:legend>
      <c:layout>
        <c:manualLayout>
          <c:xMode val="edge"/>
          <c:yMode val="edge"/>
          <c:x val="0.827582768248903"/>
          <c:y val="0.421471172962227"/>
        </c:manualLayout>
      </c:layout>
      <c:spPr>
        <a:noFill/>
        <a:ln>
          <a:noFill/>
        </a:ln>
      </c:spPr>
    </c:legend>
    <c:plotVisOnly val="1"/>
    <c:dispBlanksAs val="gap"/>
  </c:chart>
  <c:spPr>
    <a:solidFill>
      <a:srgbClr val="ffffff"/>
    </a:solidFill>
    <a:ln>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23373259954678"/>
          <c:y val="0.0751160092807425"/>
          <c:w val="0.502994496600842"/>
          <c:h val="0.650232018561485"/>
        </c:manualLayout>
      </c:layout>
      <c:lineChart>
        <c:grouping val="standard"/>
        <c:ser>
          <c:idx val="0"/>
          <c:order val="0"/>
          <c:tx>
            <c:strRef>
              <c:f>'T. MUNICIPI'!$A$64</c:f>
              <c:strCache>
                <c:ptCount val="1"/>
                <c:pt idx="0">
                  <c:v>Primari</c:v>
                </c:pt>
              </c:strCache>
            </c:strRef>
          </c:tx>
          <c:spPr>
            <a:solidFill>
              <a:srgbClr val="426fa6"/>
            </a:solidFill>
            <a:ln w="28440">
              <a:solidFill>
                <a:srgbClr val="426fa6"/>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MUNICIPI'!$B$64:$G$64</c:f>
              <c:numCache>
                <c:formatCode>General</c:formatCode>
                <c:ptCount val="6"/>
                <c:pt idx="0">
                  <c:v>7350.01409154809</c:v>
                </c:pt>
                <c:pt idx="1">
                  <c:v>6610.44271233593</c:v>
                </c:pt>
                <c:pt idx="2">
                  <c:v>5817.73564414169</c:v>
                </c:pt>
                <c:pt idx="3">
                  <c:v>5659.27316334296</c:v>
                </c:pt>
                <c:pt idx="4">
                  <c:v>4786.79104157069</c:v>
                </c:pt>
                <c:pt idx="5">
                  <c:v>4005.07104866436</c:v>
                </c:pt>
              </c:numCache>
            </c:numRef>
          </c:val>
          <c:smooth val="0"/>
        </c:ser>
        <c:ser>
          <c:idx val="1"/>
          <c:order val="1"/>
          <c:tx>
            <c:strRef>
              <c:f>'T. MUNICIPI'!$A$65</c:f>
              <c:strCache>
                <c:ptCount val="1"/>
                <c:pt idx="0">
                  <c:v>Industrial</c:v>
                </c:pt>
              </c:strCache>
            </c:strRef>
          </c:tx>
          <c:spPr>
            <a:solidFill>
              <a:srgbClr val="aa433f"/>
            </a:solidFill>
            <a:ln w="28440">
              <a:solidFill>
                <a:srgbClr val="aa433f"/>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MUNICIPI'!$B$65:$G$65</c:f>
              <c:numCache>
                <c:formatCode>General</c:formatCode>
                <c:ptCount val="6"/>
                <c:pt idx="0">
                  <c:v>16738.9317129936</c:v>
                </c:pt>
                <c:pt idx="1">
                  <c:v>18366.0185300632</c:v>
                </c:pt>
                <c:pt idx="2">
                  <c:v>19530.2266933774</c:v>
                </c:pt>
                <c:pt idx="3">
                  <c:v>18037.7604890509</c:v>
                </c:pt>
                <c:pt idx="4">
                  <c:v>13508.5774519396</c:v>
                </c:pt>
                <c:pt idx="5">
                  <c:v>11210.9437002431</c:v>
                </c:pt>
              </c:numCache>
            </c:numRef>
          </c:val>
          <c:smooth val="0"/>
        </c:ser>
        <c:ser>
          <c:idx val="2"/>
          <c:order val="2"/>
          <c:tx>
            <c:strRef>
              <c:f>'T. MUNICIPI'!$A$66</c:f>
              <c:strCache>
                <c:ptCount val="1"/>
                <c:pt idx="0">
                  <c:v>Serveis</c:v>
                </c:pt>
              </c:strCache>
            </c:strRef>
          </c:tx>
          <c:spPr>
            <a:solidFill>
              <a:srgbClr val="87a44b"/>
            </a:solidFill>
            <a:ln w="28440">
              <a:solidFill>
                <a:srgbClr val="87a44b"/>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MUNICIPI'!$B$66:$G$66</c:f>
              <c:numCache>
                <c:formatCode>General</c:formatCode>
                <c:ptCount val="6"/>
                <c:pt idx="0">
                  <c:v>53048.5724228357</c:v>
                </c:pt>
                <c:pt idx="1">
                  <c:v>58521.2334756521</c:v>
                </c:pt>
                <c:pt idx="2">
                  <c:v>60631.2329149267</c:v>
                </c:pt>
                <c:pt idx="3">
                  <c:v>55664.131999549</c:v>
                </c:pt>
                <c:pt idx="4">
                  <c:v>54258.8961833933</c:v>
                </c:pt>
                <c:pt idx="5">
                  <c:v>48642.070491704</c:v>
                </c:pt>
              </c:numCache>
            </c:numRef>
          </c:val>
          <c:smooth val="0"/>
        </c:ser>
        <c:ser>
          <c:idx val="3"/>
          <c:order val="3"/>
          <c:tx>
            <c:strRef>
              <c:f>'T. MUNICIPI'!$A$67</c:f>
              <c:strCache>
                <c:ptCount val="1"/>
                <c:pt idx="0">
                  <c:v>Domèstic</c:v>
                </c:pt>
              </c:strCache>
            </c:strRef>
          </c:tx>
          <c:spPr>
            <a:solidFill>
              <a:srgbClr val="6f568d"/>
            </a:solidFill>
            <a:ln w="28440">
              <a:solidFill>
                <a:srgbClr val="6f568d"/>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MUNICIPI'!$B$67:$G$67</c:f>
              <c:numCache>
                <c:formatCode>General</c:formatCode>
                <c:ptCount val="6"/>
                <c:pt idx="0">
                  <c:v>72157.5889450002</c:v>
                </c:pt>
                <c:pt idx="1">
                  <c:v>77244.8108713911</c:v>
                </c:pt>
                <c:pt idx="2">
                  <c:v>81155.7216523405</c:v>
                </c:pt>
                <c:pt idx="3">
                  <c:v>77810.8814395767</c:v>
                </c:pt>
                <c:pt idx="4">
                  <c:v>74107.3940507986</c:v>
                </c:pt>
                <c:pt idx="5">
                  <c:v>73595.575928495</c:v>
                </c:pt>
              </c:numCache>
            </c:numRef>
          </c:val>
          <c:smooth val="0"/>
        </c:ser>
        <c:ser>
          <c:idx val="4"/>
          <c:order val="4"/>
          <c:tx>
            <c:strRef>
              <c:f>'T. MUNICIPI'!$A$68</c:f>
              <c:strCache>
                <c:ptCount val="1"/>
                <c:pt idx="0">
                  <c:v>Transport</c:v>
                </c:pt>
              </c:strCache>
            </c:strRef>
          </c:tx>
          <c:spPr>
            <a:solidFill>
              <a:srgbClr val="3d97af"/>
            </a:solidFill>
            <a:ln w="28440">
              <a:solidFill>
                <a:srgbClr val="3d97af"/>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MUNICIPI'!$B$68:$G$68</c:f>
              <c:numCache>
                <c:formatCode>General</c:formatCode>
                <c:ptCount val="6"/>
                <c:pt idx="0">
                  <c:v>87085.2108593324</c:v>
                </c:pt>
                <c:pt idx="1">
                  <c:v>91373.5963198209</c:v>
                </c:pt>
                <c:pt idx="2">
                  <c:v>95465.9694602215</c:v>
                </c:pt>
                <c:pt idx="3">
                  <c:v>93525.8419992048</c:v>
                </c:pt>
                <c:pt idx="4">
                  <c:v>89315.9404665966</c:v>
                </c:pt>
                <c:pt idx="5">
                  <c:v>86964.2769444402</c:v>
                </c:pt>
              </c:numCache>
            </c:numRef>
          </c:val>
          <c:smooth val="0"/>
        </c:ser>
        <c:ser>
          <c:idx val="5"/>
          <c:order val="5"/>
          <c:tx>
            <c:strRef>
              <c:f>'T. MUNICIPI'!$A$69</c:f>
              <c:strCache>
                <c:ptCount val="1"/>
                <c:pt idx="0">
                  <c:v>Aigua</c:v>
                </c:pt>
              </c:strCache>
            </c:strRef>
          </c:tx>
          <c:spPr>
            <a:solidFill>
              <a:srgbClr val="8ea5ca"/>
            </a:solidFill>
            <a:ln w="28440">
              <a:solidFill>
                <a:srgbClr val="8ea5ca"/>
              </a:solidFill>
              <a:round/>
            </a:ln>
          </c:spPr>
          <c:marker>
            <c:symbol val="none"/>
          </c:marker>
          <c:dLbls>
            <c:showLegendKey val="0"/>
            <c:showVal val="0"/>
            <c:showCatName val="0"/>
            <c:showSerName val="0"/>
            <c:showPercent val="0"/>
            <c:showLeaderLines val="0"/>
          </c:dLbls>
          <c:cat>
            <c:strRef>
              <c:f>'T. MUNICIPI'!$B$63:$G$63</c:f>
              <c:strCache>
                <c:ptCount val="6"/>
                <c:pt idx="0">
                  <c:v>2005</c:v>
                </c:pt>
                <c:pt idx="1">
                  <c:v>2006</c:v>
                </c:pt>
                <c:pt idx="2">
                  <c:v>2007</c:v>
                </c:pt>
                <c:pt idx="3">
                  <c:v>2008</c:v>
                </c:pt>
                <c:pt idx="4">
                  <c:v>2009</c:v>
                </c:pt>
                <c:pt idx="5">
                  <c:v>2010</c:v>
                </c:pt>
              </c:strCache>
            </c:strRef>
          </c:cat>
          <c:val>
            <c:numRef>
              <c:f>'T. MUNICIPI'!$B$69:$G$69</c:f>
              <c:numCache>
                <c:formatCode>General</c:formatCode>
                <c:ptCount val="6"/>
                <c:pt idx="0">
                  <c:v>5995.91889</c:v>
                </c:pt>
                <c:pt idx="1">
                  <c:v>6675.81246</c:v>
                </c:pt>
                <c:pt idx="2">
                  <c:v>6770.58768</c:v>
                </c:pt>
                <c:pt idx="3">
                  <c:v>7106.3724</c:v>
                </c:pt>
                <c:pt idx="4">
                  <c:v>7323.80208</c:v>
                </c:pt>
                <c:pt idx="5">
                  <c:v>4559.93507</c:v>
                </c:pt>
              </c:numCache>
            </c:numRef>
          </c:val>
          <c:smooth val="0"/>
        </c:ser>
        <c:hiLowLines>
          <c:spPr>
            <a:ln>
              <a:noFill/>
            </a:ln>
          </c:spPr>
        </c:hiLowLines>
        <c:marker val="0"/>
        <c:axId val="10160155"/>
        <c:axId val="90902662"/>
      </c:lineChart>
      <c:catAx>
        <c:axId val="10160155"/>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0902662"/>
        <c:crosses val="autoZero"/>
        <c:auto val="1"/>
        <c:lblAlgn val="ctr"/>
        <c:lblOffset val="100"/>
      </c:catAx>
      <c:valAx>
        <c:axId val="9090266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municipi</a:t>
                </a:r>
              </a:p>
            </c:rich>
          </c:tx>
          <c:layout>
            <c:manualLayout>
              <c:xMode val="edge"/>
              <c:yMode val="edge"/>
              <c:x val="0.0229038523794108"/>
              <c:y val="0.209686774941995"/>
            </c:manualLayout>
          </c:layout>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0160155"/>
        <c:crosses val="autoZero"/>
        <c:crossBetween val="midCat"/>
      </c:valAx>
      <c:spPr>
        <a:solidFill>
          <a:srgbClr val="ffffff"/>
        </a:solidFill>
        <a:ln>
          <a:noFill/>
        </a:ln>
      </c:spPr>
    </c:plotArea>
    <c:legend>
      <c:layout>
        <c:manualLayout>
          <c:xMode val="edge"/>
          <c:yMode val="edge"/>
          <c:x val="0.729928779540304"/>
          <c:y val="0.0269721577726218"/>
        </c:manualLayout>
      </c:layout>
      <c:spPr>
        <a:noFill/>
        <a:ln>
          <a:noFill/>
        </a:ln>
      </c:spPr>
    </c:legend>
    <c:plotVisOnly val="1"/>
    <c:dispBlanksAs val="gap"/>
  </c:chart>
  <c:spPr>
    <a:solidFill>
      <a:srgbClr val="ffffff"/>
    </a:solidFill>
    <a:ln>
      <a:noFill/>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label 0</c:f>
              <c:strCache>
                <c:ptCount val="1"/>
                <c:pt idx="0">
                  <c:v>EE</c:v>
                </c:pt>
              </c:strCache>
            </c:strRef>
          </c:tx>
          <c:spPr>
            <a:solidFill>
              <a:srgbClr val="c0504d"/>
            </a:solidFill>
            <a:ln w="28440">
              <a:solidFill>
                <a:srgbClr val="c0504d"/>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3328.75859111261</c:v>
                </c:pt>
                <c:pt idx="1">
                  <c:v>3017.46666342782</c:v>
                </c:pt>
                <c:pt idx="2">
                  <c:v>3623.19872899078</c:v>
                </c:pt>
                <c:pt idx="3">
                  <c:v>3456.17580629762</c:v>
                </c:pt>
                <c:pt idx="4">
                  <c:v>3577.2463286423</c:v>
                </c:pt>
                <c:pt idx="5">
                  <c:v>5431.53903504941</c:v>
                </c:pt>
                <c:pt idx="6">
                  <c:v>5247.99779952639</c:v>
                </c:pt>
                <c:pt idx="7">
                  <c:v>4797.60701049788</c:v>
                </c:pt>
              </c:numCache>
            </c:numRef>
          </c:val>
          <c:smooth val="0"/>
        </c:ser>
        <c:ser>
          <c:idx val="1"/>
          <c:order val="1"/>
          <c:tx>
            <c:strRef>
              <c:f>label 1</c:f>
              <c:strCache>
                <c:ptCount val="1"/>
                <c:pt idx="0">
                  <c:v>GN</c:v>
                </c:pt>
              </c:strCache>
            </c:strRef>
          </c:tx>
          <c:spPr>
            <a:solidFill>
              <a:srgbClr val="9bbb59"/>
            </a:solidFill>
            <a:ln w="28440">
              <a:solidFill>
                <a:srgbClr val="9bbb59"/>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245.677853999999</c:v>
                </c:pt>
                <c:pt idx="1">
                  <c:v>287.747384</c:v>
                </c:pt>
                <c:pt idx="2">
                  <c:v>387.304498</c:v>
                </c:pt>
                <c:pt idx="3">
                  <c:v>397.289155999999</c:v>
                </c:pt>
                <c:pt idx="4">
                  <c:v>490.664060000003</c:v>
                </c:pt>
                <c:pt idx="5">
                  <c:v>664.988848000001</c:v>
                </c:pt>
                <c:pt idx="6">
                  <c:v>574.351043999998</c:v>
                </c:pt>
                <c:pt idx="7">
                  <c:v>1224.67044999998</c:v>
                </c:pt>
              </c:numCache>
            </c:numRef>
          </c:val>
          <c:smooth val="0"/>
        </c:ser>
        <c:ser>
          <c:idx val="2"/>
          <c:order val="2"/>
          <c:tx>
            <c:strRef>
              <c:f>label 2</c:f>
              <c:strCache>
                <c:ptCount val="1"/>
                <c:pt idx="0">
                  <c:v>GLP</c:v>
                </c:pt>
              </c:strCache>
            </c:strRef>
          </c:tx>
          <c:spPr>
            <a:solidFill>
              <a:srgbClr val="7030a0"/>
            </a:solidFill>
            <a:ln w="28440">
              <a:solidFill>
                <a:srgbClr val="7030a0"/>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225.23331348</c:v>
                </c:pt>
                <c:pt idx="1">
                  <c:v>222.108945408</c:v>
                </c:pt>
                <c:pt idx="2">
                  <c:v>213.240437676</c:v>
                </c:pt>
                <c:pt idx="3">
                  <c:v>201.192989256</c:v>
                </c:pt>
                <c:pt idx="4">
                  <c:v>200.213199144</c:v>
                </c:pt>
                <c:pt idx="5">
                  <c:v>191.819503679999</c:v>
                </c:pt>
                <c:pt idx="6">
                  <c:v>163.5081</c:v>
                </c:pt>
                <c:pt idx="7">
                  <c:v>164.920809984</c:v>
                </c:pt>
              </c:numCache>
            </c:numRef>
          </c:val>
          <c:smooth val="0"/>
        </c:ser>
        <c:ser>
          <c:idx val="3"/>
          <c:order val="3"/>
          <c:tx>
            <c:strRef>
              <c:f>label 3</c:f>
              <c:strCache>
                <c:ptCount val="1"/>
                <c:pt idx="0">
                  <c:v>CL</c:v>
                </c:pt>
              </c:strCache>
            </c:strRef>
          </c:tx>
          <c:spPr>
            <a:solidFill>
              <a:srgbClr val="4bacc6"/>
            </a:solidFill>
            <a:ln w="28440">
              <a:solidFill>
                <a:srgbClr val="4bacc6"/>
              </a:solidFill>
              <a:round/>
            </a:ln>
          </c:spPr>
          <c:marker>
            <c:symbol val="none"/>
          </c:marker>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6084.66489103305</c:v>
                </c:pt>
                <c:pt idx="1">
                  <c:v>6415.90039272418</c:v>
                </c:pt>
                <c:pt idx="2">
                  <c:v>6553.422056196</c:v>
                </c:pt>
                <c:pt idx="3">
                  <c:v>6996.19857972053</c:v>
                </c:pt>
                <c:pt idx="4">
                  <c:v>7136.04039543059</c:v>
                </c:pt>
                <c:pt idx="5">
                  <c:v>7023.81545952096</c:v>
                </c:pt>
                <c:pt idx="6">
                  <c:v>7203.42169828218</c:v>
                </c:pt>
                <c:pt idx="7">
                  <c:v>7266.92967817978</c:v>
                </c:pt>
              </c:numCache>
            </c:numRef>
          </c:val>
          <c:smooth val="0"/>
        </c:ser>
        <c:hiLowLines>
          <c:spPr>
            <a:ln>
              <a:noFill/>
            </a:ln>
          </c:spPr>
        </c:hiLowLines>
        <c:marker val="0"/>
        <c:axId val="50236897"/>
        <c:axId val="32497573"/>
      </c:lineChart>
      <c:catAx>
        <c:axId val="50236897"/>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32497573"/>
        <c:crosses val="autoZero"/>
        <c:auto val="1"/>
        <c:lblAlgn val="ctr"/>
        <c:lblOffset val="100"/>
      </c:catAx>
      <c:valAx>
        <c:axId val="32497573"/>
        <c:scaling>
          <c:orientation val="minMax"/>
          <c:min val="0"/>
        </c:scaling>
        <c:delete val="0"/>
        <c:axPos val="l"/>
        <c:majorGridlines>
          <c:spPr>
            <a:ln w="9360">
              <a:solidFill>
                <a:srgbClr val="878787"/>
              </a:solidFill>
              <a:round/>
            </a:ln>
          </c:spPr>
        </c:maj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PAES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50236897"/>
        <c:crosses val="autoZero"/>
        <c:crossBetween val="midCat"/>
      </c:valAx>
      <c:spPr>
        <a:solidFill>
          <a:srgbClr val="ffffff"/>
        </a:solidFill>
        <a:ln>
          <a:noFill/>
        </a:ln>
      </c:spPr>
    </c:plotArea>
    <c:legend>
      <c:layout>
        <c:manualLayout>
          <c:xMode val="edge"/>
          <c:yMode val="edge"/>
          <c:x val="0.81209411263707"/>
          <c:y val="0.421471172962227"/>
        </c:manualLayout>
      </c:layout>
      <c:spPr>
        <a:noFill/>
        <a:ln>
          <a:noFill/>
        </a:ln>
      </c:spPr>
    </c:legend>
    <c:plotVisOnly val="1"/>
    <c:dispBlanksAs val="gap"/>
  </c:chart>
  <c:spPr>
    <a:solidFill>
      <a:srgbClr val="ffffff"/>
    </a:solidFill>
    <a:ln>
      <a:noFill/>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EE</c:v>
                </c:pt>
              </c:strCache>
            </c:strRef>
          </c:tx>
          <c:spPr>
            <a:solidFill>
              <a:srgbClr val="c0504d"/>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3672.718</c:v>
                </c:pt>
                <c:pt idx="1">
                  <c:v>3635.908</c:v>
                </c:pt>
                <c:pt idx="2">
                  <c:v>3854.556</c:v>
                </c:pt>
                <c:pt idx="3">
                  <c:v>4204.448</c:v>
                </c:pt>
                <c:pt idx="4">
                  <c:v>4290.858</c:v>
                </c:pt>
                <c:pt idx="5">
                  <c:v>4524.029</c:v>
                </c:pt>
                <c:pt idx="6">
                  <c:v>4806.732</c:v>
                </c:pt>
                <c:pt idx="7">
                  <c:v>5089.24</c:v>
                </c:pt>
              </c:numCache>
            </c:numRef>
          </c:val>
        </c:ser>
        <c:ser>
          <c:idx val="1"/>
          <c:order val="1"/>
          <c:tx>
            <c:strRef>
              <c:f>label 1</c:f>
              <c:strCache>
                <c:ptCount val="1"/>
                <c:pt idx="0">
                  <c:v>GN</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1216.227</c:v>
                </c:pt>
                <c:pt idx="1">
                  <c:v>1424.492</c:v>
                </c:pt>
                <c:pt idx="2">
                  <c:v>1917.349</c:v>
                </c:pt>
                <c:pt idx="3">
                  <c:v>1966.778</c:v>
                </c:pt>
                <c:pt idx="4">
                  <c:v>2429.03</c:v>
                </c:pt>
                <c:pt idx="5">
                  <c:v>3262.364</c:v>
                </c:pt>
                <c:pt idx="6">
                  <c:v>2525.69</c:v>
                </c:pt>
                <c:pt idx="7">
                  <c:v>4059.721</c:v>
                </c:pt>
              </c:numCache>
            </c:numRef>
          </c:val>
        </c:ser>
        <c:ser>
          <c:idx val="2"/>
          <c:order val="2"/>
          <c:tx>
            <c:strRef>
              <c:f>label 2</c:f>
              <c:strCache>
                <c:ptCount val="1"/>
                <c:pt idx="0">
                  <c:v>GLP</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720.53871</c:v>
                </c:pt>
                <c:pt idx="1">
                  <c:v>710.543616</c:v>
                </c:pt>
                <c:pt idx="2">
                  <c:v>682.172577</c:v>
                </c:pt>
                <c:pt idx="3">
                  <c:v>643.631862</c:v>
                </c:pt>
                <c:pt idx="4">
                  <c:v>640.497438</c:v>
                </c:pt>
                <c:pt idx="5">
                  <c:v>613.64536</c:v>
                </c:pt>
                <c:pt idx="6">
                  <c:v>523.075</c:v>
                </c:pt>
                <c:pt idx="7">
                  <c:v>527.594368</c:v>
                </c:pt>
              </c:numCache>
            </c:numRef>
          </c:val>
        </c:ser>
        <c:ser>
          <c:idx val="3"/>
          <c:order val="3"/>
          <c:tx>
            <c:strRef>
              <c:f>label 3</c:f>
              <c:strCache>
                <c:ptCount val="1"/>
                <c:pt idx="0">
                  <c:v>CL</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872.433880060199</c:v>
                </c:pt>
                <c:pt idx="1">
                  <c:v>833.397231702406</c:v>
                </c:pt>
                <c:pt idx="2">
                  <c:v>701.554405292088</c:v>
                </c:pt>
                <c:pt idx="3">
                  <c:v>626.492704266132</c:v>
                </c:pt>
                <c:pt idx="4">
                  <c:v>521.381506942673</c:v>
                </c:pt>
                <c:pt idx="5">
                  <c:v>486.209620648228</c:v>
                </c:pt>
                <c:pt idx="6">
                  <c:v>360.487932443782</c:v>
                </c:pt>
                <c:pt idx="7">
                  <c:v>452.109122524409</c:v>
                </c:pt>
              </c:numCache>
            </c:numRef>
          </c:val>
        </c:ser>
        <c:gapWidth val="75"/>
        <c:shape val="box"/>
        <c:axId val="38211404"/>
        <c:axId val="16516792"/>
        <c:axId val="0"/>
      </c:bar3DChart>
      <c:catAx>
        <c:axId val="38211404"/>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16516792"/>
        <c:crosses val="autoZero"/>
        <c:auto val="1"/>
        <c:lblAlgn val="ctr"/>
        <c:lblOffset val="100"/>
      </c:catAx>
      <c:valAx>
        <c:axId val="16516792"/>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DOMÈSTIC</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38211404"/>
        <c:crosses val="autoZero"/>
        <c:crossBetween val="midCat"/>
      </c:valAx>
      <c:spPr>
        <a:noFill/>
        <a:ln w="9360">
          <a:solidFill>
            <a:srgbClr val="878787"/>
          </a:solidFill>
          <a:round/>
        </a:ln>
      </c:spPr>
    </c:plotArea>
    <c:legend>
      <c:layout>
        <c:manualLayout>
          <c:xMode val="edge"/>
          <c:yMode val="edge"/>
          <c:x val="0.857714138286894"/>
          <c:y val="0.327731092436975"/>
        </c:manualLayout>
      </c:layout>
      <c:spPr>
        <a:noFill/>
        <a:ln>
          <a:noFill/>
        </a:ln>
      </c:spPr>
    </c:legend>
    <c:plotVisOnly val="1"/>
    <c:dispBlanksAs val="gap"/>
  </c:chart>
  <c:spPr>
    <a:solidFill>
      <a:srgbClr val="ffffff"/>
    </a:solidFill>
    <a:ln>
      <a:noFill/>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DOMÈSTIC,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74045407636739"/>
          <c:y val="0.178571428571429"/>
          <c:w val="0.747420020639835"/>
          <c:h val="0.739495798319328"/>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4524.029</c:v>
                </c:pt>
                <c:pt idx="1">
                  <c:v>3262.364</c:v>
                </c:pt>
                <c:pt idx="2">
                  <c:v>613.64536</c:v>
                </c:pt>
                <c:pt idx="3">
                  <c:v>486.209620648228</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EE</c:v>
                </c:pt>
              </c:strCache>
            </c:strRef>
          </c:tx>
          <c:spPr>
            <a:solidFill>
              <a:srgbClr val="c0504d"/>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0</c:v>
                </c:pt>
                <c:pt idx="1">
                  <c:v>0</c:v>
                </c:pt>
                <c:pt idx="2">
                  <c:v>0</c:v>
                </c:pt>
                <c:pt idx="3">
                  <c:v>0</c:v>
                </c:pt>
                <c:pt idx="4">
                  <c:v>0</c:v>
                </c:pt>
                <c:pt idx="5">
                  <c:v>0</c:v>
                </c:pt>
                <c:pt idx="6">
                  <c:v>0</c:v>
                </c:pt>
                <c:pt idx="7">
                  <c:v>0</c:v>
                </c:pt>
              </c:numCache>
            </c:numRef>
          </c:val>
        </c:ser>
        <c:ser>
          <c:idx val="1"/>
          <c:order val="1"/>
          <c:tx>
            <c:strRef>
              <c:f>label 1</c:f>
              <c:strCache>
                <c:ptCount val="1"/>
                <c:pt idx="0">
                  <c:v>GN</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0</c:v>
                </c:pt>
                <c:pt idx="1">
                  <c:v>0</c:v>
                </c:pt>
                <c:pt idx="2">
                  <c:v>0</c:v>
                </c:pt>
                <c:pt idx="3">
                  <c:v>0</c:v>
                </c:pt>
                <c:pt idx="4">
                  <c:v>0</c:v>
                </c:pt>
                <c:pt idx="5">
                  <c:v>0</c:v>
                </c:pt>
                <c:pt idx="6">
                  <c:v>0</c:v>
                </c:pt>
                <c:pt idx="7">
                  <c:v>0</c:v>
                </c:pt>
              </c:numCache>
            </c:numRef>
          </c:val>
        </c:ser>
        <c:ser>
          <c:idx val="2"/>
          <c:order val="2"/>
          <c:tx>
            <c:strRef>
              <c:f>label 2</c:f>
              <c:strCache>
                <c:ptCount val="1"/>
                <c:pt idx="0">
                  <c:v>GLP</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0</c:v>
                </c:pt>
                <c:pt idx="1">
                  <c:v>0</c:v>
                </c:pt>
                <c:pt idx="2">
                  <c:v>0</c:v>
                </c:pt>
                <c:pt idx="3">
                  <c:v>0</c:v>
                </c:pt>
                <c:pt idx="4">
                  <c:v>0</c:v>
                </c:pt>
                <c:pt idx="5">
                  <c:v>0</c:v>
                </c:pt>
                <c:pt idx="6">
                  <c:v>0</c:v>
                </c:pt>
                <c:pt idx="7">
                  <c:v>0</c:v>
                </c:pt>
              </c:numCache>
            </c:numRef>
          </c:val>
        </c:ser>
        <c:ser>
          <c:idx val="3"/>
          <c:order val="3"/>
          <c:tx>
            <c:strRef>
              <c:f>label 3</c:f>
              <c:strCache>
                <c:ptCount val="1"/>
                <c:pt idx="0">
                  <c:v>CL</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255.9099816</c:v>
                </c:pt>
                <c:pt idx="1">
                  <c:v>255.9099816</c:v>
                </c:pt>
                <c:pt idx="2">
                  <c:v>255.9099816</c:v>
                </c:pt>
                <c:pt idx="3">
                  <c:v>255.9099816</c:v>
                </c:pt>
                <c:pt idx="4">
                  <c:v>255.9099816</c:v>
                </c:pt>
                <c:pt idx="5">
                  <c:v>255.9099816</c:v>
                </c:pt>
                <c:pt idx="6">
                  <c:v>255.9099816</c:v>
                </c:pt>
                <c:pt idx="7">
                  <c:v>255.9099816</c:v>
                </c:pt>
              </c:numCache>
            </c:numRef>
          </c:val>
        </c:ser>
        <c:ser>
          <c:idx val="4"/>
          <c:order val="4"/>
          <c:tx>
            <c:strRef>
              <c:f>label 4</c:f>
              <c:strCache>
                <c:ptCount val="1"/>
                <c:pt idx="0">
                  <c:v>Residus</c:v>
                </c:pt>
              </c:strCache>
            </c:strRef>
          </c:tx>
          <c:spPr>
            <a:solidFill>
              <a:srgbClr val="f7964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4</c:f>
              <c:numCache>
                <c:formatCode>General</c:formatCode>
                <c:ptCount val="8"/>
                <c:pt idx="0">
                  <c:v>0</c:v>
                </c:pt>
                <c:pt idx="1">
                  <c:v>0</c:v>
                </c:pt>
                <c:pt idx="2">
                  <c:v>0</c:v>
                </c:pt>
                <c:pt idx="3">
                  <c:v>0</c:v>
                </c:pt>
                <c:pt idx="4">
                  <c:v>0</c:v>
                </c:pt>
                <c:pt idx="5">
                  <c:v>0</c:v>
                </c:pt>
                <c:pt idx="6">
                  <c:v>0</c:v>
                </c:pt>
                <c:pt idx="7">
                  <c:v>0</c:v>
                </c:pt>
              </c:numCache>
            </c:numRef>
          </c:val>
        </c:ser>
        <c:gapWidth val="75"/>
        <c:shape val="box"/>
        <c:axId val="68470549"/>
        <c:axId val="55123244"/>
        <c:axId val="0"/>
      </c:bar3DChart>
      <c:catAx>
        <c:axId val="68470549"/>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55123244"/>
        <c:crosses val="autoZero"/>
        <c:auto val="1"/>
        <c:lblAlgn val="ctr"/>
        <c:lblOffset val="100"/>
      </c:catAx>
      <c:valAx>
        <c:axId val="55123244"/>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RESIDUS</a:t>
                </a:r>
              </a:p>
            </c:rich>
          </c:tx>
          <c:overlay val="0"/>
        </c:title>
        <c:numFmt formatCode="#,##0" sourceLinked="0"/>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ea typeface="Calibri"/>
              </a:defRPr>
            </a:pPr>
          </a:p>
        </c:txPr>
        <c:crossAx val="68470549"/>
        <c:crosses val="autoZero"/>
        <c:crossBetween val="midCat"/>
      </c:valAx>
      <c:spPr>
        <a:noFill/>
        <a:ln w="9360">
          <a:solidFill>
            <a:srgbClr val="878787"/>
          </a:solidFill>
          <a:round/>
        </a:ln>
      </c:spPr>
    </c:plotArea>
    <c:legend>
      <c:layout>
        <c:manualLayout>
          <c:xMode val="edge"/>
          <c:yMode val="edge"/>
          <c:x val="0.809855521155831"/>
          <c:y val="0.278514588859416"/>
        </c:manualLayout>
      </c:layout>
      <c:spPr>
        <a:noFill/>
        <a:ln>
          <a:noFill/>
        </a:ln>
      </c:spPr>
    </c:legend>
    <c:plotVisOnly val="1"/>
    <c:dispBlanksAs val="gap"/>
  </c:chart>
  <c:spPr>
    <a:solidFill>
      <a:srgbClr val="ffffff"/>
    </a:solidFill>
    <a:ln>
      <a:noFill/>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Arial"/>
                <a:ea typeface="Arial"/>
              </a:defRPr>
            </a:pPr>
            <a:r>
              <a:rPr b="1" sz="1000" spc="-1" strike="noStrike">
                <a:solidFill>
                  <a:srgbClr val="000000"/>
                </a:solidFill>
                <a:uFill>
                  <a:solidFill>
                    <a:srgbClr val="ffffff"/>
                  </a:solidFill>
                </a:uFill>
                <a:latin typeface="Arial"/>
                <a:ea typeface="Arial"/>
              </a:rPr>
              <a:t>MWh SECTOR RESIDUS,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0"/>
            </c:dLbl>
            <c:dLbl>
              <c:idx val="1"/>
              <c:dLblPos val="bestFit"/>
              <c:showLegendKey val="0"/>
              <c:showVal val="0"/>
              <c:showCatName val="0"/>
              <c:showSerName val="0"/>
              <c:showPercent val="0"/>
            </c:dLbl>
            <c:dLbl>
              <c:idx val="2"/>
              <c:dLblPos val="bestFit"/>
              <c:showLegendKey val="0"/>
              <c:showVal val="0"/>
              <c:showCatName val="0"/>
              <c:showSerName val="0"/>
              <c:showPercent val="0"/>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0</c:v>
                </c:pt>
                <c:pt idx="1">
                  <c:v>0</c:v>
                </c:pt>
                <c:pt idx="2">
                  <c:v>0</c:v>
                </c:pt>
                <c:pt idx="3">
                  <c:v>255.9099816</c:v>
                </c:pt>
              </c:numCache>
            </c:numRef>
          </c:val>
        </c:ser>
      </c:pie3DChart>
      <c:spPr>
        <a:solidFill>
          <a:srgbClr val="d9d9d9"/>
        </a:solidFill>
        <a:ln>
          <a:noFill/>
        </a:ln>
      </c:spPr>
    </c:plotArea>
    <c:legend>
      <c:layout>
        <c:manualLayout>
          <c:xMode val="edge"/>
          <c:yMode val="edge"/>
          <c:x val="0.864984552008239"/>
          <c:y val="0.315960912052117"/>
        </c:manualLayout>
      </c:layout>
      <c:spPr>
        <a:noFill/>
        <a:ln>
          <a:noFill/>
        </a:ln>
      </c:spPr>
    </c:legend>
    <c:plotVisOnly val="1"/>
    <c:dispBlanksAs val="zero"/>
  </c:chart>
  <c:spPr>
    <a:solidFill>
      <a:srgbClr val="ffffff"/>
    </a:solidFill>
    <a:ln>
      <a:noFill/>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BOMBEIG</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450.86</c:v>
                </c:pt>
                <c:pt idx="1">
                  <c:v>450.86</c:v>
                </c:pt>
                <c:pt idx="2">
                  <c:v>450.86</c:v>
                </c:pt>
                <c:pt idx="3">
                  <c:v>450.86</c:v>
                </c:pt>
                <c:pt idx="4">
                  <c:v>450.86</c:v>
                </c:pt>
                <c:pt idx="5">
                  <c:v>450.86</c:v>
                </c:pt>
                <c:pt idx="6">
                  <c:v>445.5</c:v>
                </c:pt>
                <c:pt idx="7">
                  <c:v>484.97</c:v>
                </c:pt>
              </c:numCache>
            </c:numRef>
          </c:val>
        </c:ser>
        <c:ser>
          <c:idx val="1"/>
          <c:order val="1"/>
          <c:tx>
            <c:strRef>
              <c:f>label 1</c:f>
              <c:strCache>
                <c:ptCount val="1"/>
                <c:pt idx="0">
                  <c:v>ETAP </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0</c:v>
                </c:pt>
                <c:pt idx="1">
                  <c:v>0</c:v>
                </c:pt>
                <c:pt idx="2">
                  <c:v>0</c:v>
                </c:pt>
                <c:pt idx="3">
                  <c:v>0</c:v>
                </c:pt>
                <c:pt idx="4">
                  <c:v>0</c:v>
                </c:pt>
                <c:pt idx="5">
                  <c:v>0</c:v>
                </c:pt>
                <c:pt idx="6">
                  <c:v>0</c:v>
                </c:pt>
                <c:pt idx="7">
                  <c:v>0</c:v>
                </c:pt>
              </c:numCache>
            </c:numRef>
          </c:val>
        </c:ser>
        <c:ser>
          <c:idx val="2"/>
          <c:order val="2"/>
          <c:tx>
            <c:strRef>
              <c:f>label 2</c:f>
              <c:strCache>
                <c:ptCount val="1"/>
                <c:pt idx="0">
                  <c:v>EDAR</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303.809626048674</c:v>
                </c:pt>
                <c:pt idx="1">
                  <c:v>344.759626048673</c:v>
                </c:pt>
                <c:pt idx="2">
                  <c:v>355.601626048671</c:v>
                </c:pt>
                <c:pt idx="3">
                  <c:v>305.421626048669</c:v>
                </c:pt>
                <c:pt idx="4">
                  <c:v>317.823366048669</c:v>
                </c:pt>
                <c:pt idx="5">
                  <c:v>332.690946048671</c:v>
                </c:pt>
                <c:pt idx="6">
                  <c:v>367.740828401827</c:v>
                </c:pt>
                <c:pt idx="7">
                  <c:v>393.884664780766</c:v>
                </c:pt>
              </c:numCache>
            </c:numRef>
          </c:val>
        </c:ser>
        <c:gapWidth val="75"/>
        <c:shape val="box"/>
        <c:axId val="808892"/>
        <c:axId val="27600418"/>
        <c:axId val="0"/>
      </c:bar3DChart>
      <c:catAx>
        <c:axId val="808892"/>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27600418"/>
        <c:crosses val="autoZero"/>
        <c:auto val="1"/>
        <c:lblAlgn val="ctr"/>
        <c:lblOffset val="100"/>
      </c:catAx>
      <c:valAx>
        <c:axId val="27600418"/>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AIGUA</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808892"/>
        <c:crosses val="autoZero"/>
        <c:crossBetween val="midCat"/>
      </c:valAx>
      <c:spPr>
        <a:noFill/>
        <a:ln w="9360">
          <a:solidFill>
            <a:srgbClr val="878787"/>
          </a:solidFill>
          <a:round/>
        </a:ln>
      </c:spPr>
    </c:plotArea>
    <c:legend>
      <c:layout>
        <c:manualLayout>
          <c:xMode val="edge"/>
          <c:yMode val="edge"/>
          <c:x val="0.779153766769866"/>
          <c:y val="0.361995104039168"/>
        </c:manualLayout>
      </c:layout>
      <c:spPr>
        <a:noFill/>
        <a:ln>
          <a:noFill/>
        </a:ln>
      </c:spPr>
    </c:legend>
    <c:plotVisOnly val="1"/>
    <c:dispBlanksAs val="gap"/>
  </c:chart>
  <c:spPr>
    <a:solidFill>
      <a:srgbClr val="ffffff"/>
    </a:solidFill>
    <a:ln>
      <a:noFill/>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AIGUA,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17285861713106"/>
          <c:y val="0.158990053557766"/>
          <c:w val="0.672987616099071"/>
          <c:h val="0.766335118592196"/>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4bacc6"/>
              </a:solidFill>
              <a:ln>
                <a:noFill/>
              </a:ln>
            </c:spPr>
          </c:dPt>
          <c:dPt>
            <c:idx val="1"/>
            <c:spPr>
              <a:solidFill>
                <a:srgbClr val="8064a2"/>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3"/>
                <c:pt idx="0">
                  <c:v/>
                </c:pt>
                <c:pt idx="1">
                  <c:v/>
                </c:pt>
                <c:pt idx="2">
                  <c:v/>
                </c:pt>
              </c:strCache>
            </c:strRef>
          </c:cat>
          <c:val>
            <c:numRef>
              <c:f>0</c:f>
              <c:numCache>
                <c:formatCode>General</c:formatCode>
                <c:ptCount val="3"/>
                <c:pt idx="0">
                  <c:v>450.86</c:v>
                </c:pt>
                <c:pt idx="1">
                  <c:v>0</c:v>
                </c:pt>
                <c:pt idx="2">
                  <c:v>332.690946048671</c:v>
                </c:pt>
              </c:numCache>
            </c:numRef>
          </c:val>
        </c:ser>
      </c:pie3DChart>
      <c:spPr>
        <a:solidFill>
          <a:srgbClr val="d9d9d9"/>
        </a:solidFill>
        <a:ln>
          <a:noFill/>
        </a:ln>
      </c:spPr>
    </c:plotArea>
    <c:legend>
      <c:layout>
        <c:manualLayout>
          <c:xMode val="edge"/>
          <c:yMode val="edge"/>
          <c:x val="0.782636738906089"/>
          <c:y val="0.420657995409334"/>
        </c:manualLayout>
      </c:layout>
      <c:spPr>
        <a:noFill/>
        <a:ln>
          <a:noFill/>
        </a:ln>
      </c:spPr>
    </c:legend>
    <c:plotVisOnly val="1"/>
    <c:dispBlanksAs val="zero"/>
  </c:chart>
  <c:spPr>
    <a:solidFill>
      <a:srgbClr val="ffffff"/>
    </a:solidFill>
    <a:ln>
      <a:noFill/>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PAES,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04346704501483"/>
          <c:y val="0.190854870775348"/>
          <c:w val="0.686314974848446"/>
          <c:h val="0.681908548707754"/>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11292.1809460487</c:v>
                </c:pt>
                <c:pt idx="1">
                  <c:v>3292.024</c:v>
                </c:pt>
                <c:pt idx="2">
                  <c:v>845.01984</c:v>
                </c:pt>
                <c:pt idx="3">
                  <c:v>26816.1450474173</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PAES,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256707946336429"/>
          <c:y val="0.159045725646123"/>
          <c:w val="0.739164086687306"/>
          <c:h val="0.797216699801193"/>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5431.53903504941</c:v>
                </c:pt>
                <c:pt idx="1">
                  <c:v>664.988848000001</c:v>
                </c:pt>
                <c:pt idx="2">
                  <c:v>191.819503679999</c:v>
                </c:pt>
                <c:pt idx="3">
                  <c:v>7023.81545952096</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EE</c:v>
                </c:pt>
              </c:strCache>
            </c:strRef>
          </c:tx>
          <c:spPr>
            <a:solidFill>
              <a:srgbClr val="c0504d"/>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1707.81387</c:v>
                </c:pt>
                <c:pt idx="1">
                  <c:v>1483.450464</c:v>
                </c:pt>
                <c:pt idx="2">
                  <c:v>1803.932208</c:v>
                </c:pt>
                <c:pt idx="3">
                  <c:v>1694.392544</c:v>
                </c:pt>
                <c:pt idx="4">
                  <c:v>1789.287786</c:v>
                </c:pt>
                <c:pt idx="5">
                  <c:v>2176.057949</c:v>
                </c:pt>
                <c:pt idx="6">
                  <c:v>2086.121688</c:v>
                </c:pt>
                <c:pt idx="7">
                  <c:v>2254.53332000002</c:v>
                </c:pt>
              </c:numCache>
            </c:numRef>
          </c:val>
        </c:ser>
        <c:ser>
          <c:idx val="1"/>
          <c:order val="1"/>
          <c:tx>
            <c:strRef>
              <c:f>label 1</c:f>
              <c:strCache>
                <c:ptCount val="1"/>
                <c:pt idx="0">
                  <c:v>GN</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245.677853999999</c:v>
                </c:pt>
                <c:pt idx="1">
                  <c:v>287.747384</c:v>
                </c:pt>
                <c:pt idx="2">
                  <c:v>387.304498</c:v>
                </c:pt>
                <c:pt idx="3">
                  <c:v>397.289155999999</c:v>
                </c:pt>
                <c:pt idx="4">
                  <c:v>490.664060000003</c:v>
                </c:pt>
                <c:pt idx="5">
                  <c:v>658.997527999998</c:v>
                </c:pt>
                <c:pt idx="6">
                  <c:v>510.18938</c:v>
                </c:pt>
                <c:pt idx="7">
                  <c:v>820.063642</c:v>
                </c:pt>
              </c:numCache>
            </c:numRef>
          </c:val>
        </c:ser>
        <c:ser>
          <c:idx val="2"/>
          <c:order val="2"/>
          <c:tx>
            <c:strRef>
              <c:f>label 2</c:f>
              <c:strCache>
                <c:ptCount val="1"/>
                <c:pt idx="0">
                  <c:v>GLP</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163.56228717</c:v>
                </c:pt>
                <c:pt idx="1">
                  <c:v>161.293400832</c:v>
                </c:pt>
                <c:pt idx="2">
                  <c:v>154.853174979</c:v>
                </c:pt>
                <c:pt idx="3">
                  <c:v>146.104432674</c:v>
                </c:pt>
                <c:pt idx="4">
                  <c:v>145.392918426001</c:v>
                </c:pt>
                <c:pt idx="5">
                  <c:v>139.29749672</c:v>
                </c:pt>
                <c:pt idx="6">
                  <c:v>118.738025</c:v>
                </c:pt>
                <c:pt idx="7">
                  <c:v>119.763921536</c:v>
                </c:pt>
              </c:numCache>
            </c:numRef>
          </c:val>
        </c:ser>
        <c:ser>
          <c:idx val="3"/>
          <c:order val="3"/>
          <c:tx>
            <c:strRef>
              <c:f>label 3</c:f>
              <c:strCache>
                <c:ptCount val="1"/>
                <c:pt idx="0">
                  <c:v>CL</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232.939845976072</c:v>
                </c:pt>
                <c:pt idx="1">
                  <c:v>222.517060864543</c:v>
                </c:pt>
                <c:pt idx="2">
                  <c:v>187.315026212988</c:v>
                </c:pt>
                <c:pt idx="3">
                  <c:v>167.273552039052</c:v>
                </c:pt>
                <c:pt idx="4">
                  <c:v>139.208862353695</c:v>
                </c:pt>
                <c:pt idx="5">
                  <c:v>129.817968713077</c:v>
                </c:pt>
                <c:pt idx="6">
                  <c:v>96.250277962489</c:v>
                </c:pt>
                <c:pt idx="7">
                  <c:v>120.713135714018</c:v>
                </c:pt>
              </c:numCache>
            </c:numRef>
          </c:val>
        </c:ser>
        <c:gapWidth val="75"/>
        <c:shape val="box"/>
        <c:axId val="52880803"/>
        <c:axId val="40656943"/>
        <c:axId val="0"/>
      </c:bar3DChart>
      <c:catAx>
        <c:axId val="52880803"/>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40656943"/>
        <c:crosses val="autoZero"/>
        <c:auto val="1"/>
        <c:lblAlgn val="ctr"/>
        <c:lblOffset val="100"/>
      </c:catAx>
      <c:valAx>
        <c:axId val="40656943"/>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DOMÈSTIC</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52880803"/>
        <c:crosses val="autoZero"/>
        <c:crossBetween val="midCat"/>
      </c:valAx>
      <c:spPr>
        <a:noFill/>
        <a:ln w="9360">
          <a:solidFill>
            <a:srgbClr val="878787"/>
          </a:solidFill>
          <a:round/>
        </a:ln>
      </c:spPr>
    </c:plotArea>
    <c:legend>
      <c:layout>
        <c:manualLayout>
          <c:xMode val="edge"/>
          <c:yMode val="edge"/>
          <c:x val="0.857732490648781"/>
          <c:y val="0.252100840336134"/>
        </c:manualLayout>
      </c:layout>
      <c:spPr>
        <a:noFill/>
        <a:ln>
          <a:noFill/>
        </a:ln>
      </c:spPr>
    </c:legend>
    <c:plotVisOnly val="1"/>
    <c:dispBlanksAs val="gap"/>
  </c:chart>
  <c:spPr>
    <a:solidFill>
      <a:srgbClr val="ffffff"/>
    </a:solidFill>
    <a:ln>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7764648753642"/>
          <c:y val="0.076332560834299"/>
          <c:w val="0.532858530268695"/>
          <c:h val="0.675260718424102"/>
        </c:manualLayout>
      </c:layout>
      <c:lineChart>
        <c:grouping val="standard"/>
        <c:ser>
          <c:idx val="0"/>
          <c:order val="0"/>
          <c:tx>
            <c:strRef>
              <c:f>'T. MUNICIPI'!$A$78</c:f>
              <c:strCache>
                <c:ptCount val="1"/>
                <c:pt idx="0">
                  <c:v>Primari</c:v>
                </c:pt>
              </c:strCache>
            </c:strRef>
          </c:tx>
          <c:spPr>
            <a:solidFill>
              <a:srgbClr val="426fa6"/>
            </a:solidFill>
            <a:ln w="28440">
              <a:solidFill>
                <a:srgbClr val="426fa6"/>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MUNICIPI'!$B$78:$G$78</c:f>
              <c:numCache>
                <c:formatCode>General</c:formatCode>
                <c:ptCount val="6"/>
                <c:pt idx="0">
                  <c:v>2522.84740901107</c:v>
                </c:pt>
                <c:pt idx="1">
                  <c:v>2413.73468697184</c:v>
                </c:pt>
                <c:pt idx="2">
                  <c:v>2021.12014407417</c:v>
                </c:pt>
                <c:pt idx="3">
                  <c:v>1986.37314406509</c:v>
                </c:pt>
                <c:pt idx="4">
                  <c:v>1781.73008982398</c:v>
                </c:pt>
                <c:pt idx="5">
                  <c:v>1489.45960991624</c:v>
                </c:pt>
              </c:numCache>
            </c:numRef>
          </c:val>
          <c:smooth val="0"/>
        </c:ser>
        <c:ser>
          <c:idx val="1"/>
          <c:order val="1"/>
          <c:tx>
            <c:strRef>
              <c:f>'T. MUNICIPI'!$A$79</c:f>
              <c:strCache>
                <c:ptCount val="1"/>
                <c:pt idx="0">
                  <c:v>Industrial</c:v>
                </c:pt>
              </c:strCache>
            </c:strRef>
          </c:tx>
          <c:spPr>
            <a:solidFill>
              <a:srgbClr val="aa433f"/>
            </a:solidFill>
            <a:ln w="28440">
              <a:solidFill>
                <a:srgbClr val="aa433f"/>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MUNICIPI'!$B$79:$G$79</c:f>
              <c:numCache>
                <c:formatCode>General</c:formatCode>
                <c:ptCount val="6"/>
                <c:pt idx="0">
                  <c:v>6703.94569460785</c:v>
                </c:pt>
                <c:pt idx="1">
                  <c:v>7433.81950851742</c:v>
                </c:pt>
                <c:pt idx="2">
                  <c:v>7493.65940675562</c:v>
                </c:pt>
                <c:pt idx="3">
                  <c:v>6908.35820287439</c:v>
                </c:pt>
                <c:pt idx="4">
                  <c:v>5539.62565079262</c:v>
                </c:pt>
                <c:pt idx="5">
                  <c:v>4789.79933439371</c:v>
                </c:pt>
              </c:numCache>
            </c:numRef>
          </c:val>
          <c:smooth val="0"/>
        </c:ser>
        <c:ser>
          <c:idx val="2"/>
          <c:order val="2"/>
          <c:tx>
            <c:strRef>
              <c:f>'T. MUNICIPI'!$A$80</c:f>
              <c:strCache>
                <c:ptCount val="1"/>
                <c:pt idx="0">
                  <c:v>Serveis</c:v>
                </c:pt>
              </c:strCache>
            </c:strRef>
          </c:tx>
          <c:spPr>
            <a:solidFill>
              <a:srgbClr val="87a44b"/>
            </a:solidFill>
            <a:ln w="28440">
              <a:solidFill>
                <a:srgbClr val="87a44b"/>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MUNICIPI'!$B$80:$G$80</c:f>
              <c:numCache>
                <c:formatCode>General</c:formatCode>
                <c:ptCount val="6"/>
                <c:pt idx="0">
                  <c:v>27448.431240471</c:v>
                </c:pt>
                <c:pt idx="1">
                  <c:v>30885.8345728018</c:v>
                </c:pt>
                <c:pt idx="2">
                  <c:v>28963.6674236554</c:v>
                </c:pt>
                <c:pt idx="3">
                  <c:v>27331.9312765058</c:v>
                </c:pt>
                <c:pt idx="4">
                  <c:v>28197.3349089287</c:v>
                </c:pt>
                <c:pt idx="5">
                  <c:v>26503.6441502563</c:v>
                </c:pt>
              </c:numCache>
            </c:numRef>
          </c:val>
          <c:smooth val="0"/>
        </c:ser>
        <c:ser>
          <c:idx val="3"/>
          <c:order val="3"/>
          <c:tx>
            <c:strRef>
              <c:f>'T. MUNICIPI'!$A$81</c:f>
              <c:strCache>
                <c:ptCount val="1"/>
                <c:pt idx="0">
                  <c:v>Domèstic</c:v>
                </c:pt>
              </c:strCache>
            </c:strRef>
          </c:tx>
          <c:spPr>
            <a:solidFill>
              <a:srgbClr val="6f568d"/>
            </a:solidFill>
            <a:ln w="28440">
              <a:solidFill>
                <a:srgbClr val="6f568d"/>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MUNICIPI'!$B$81:$G$81</c:f>
              <c:numCache>
                <c:formatCode>General</c:formatCode>
                <c:ptCount val="6"/>
                <c:pt idx="0">
                  <c:v>44543.4785467151</c:v>
                </c:pt>
                <c:pt idx="1">
                  <c:v>49471.8977830614</c:v>
                </c:pt>
                <c:pt idx="2">
                  <c:v>47802.6338104749</c:v>
                </c:pt>
                <c:pt idx="3">
                  <c:v>47363.936222367</c:v>
                </c:pt>
                <c:pt idx="4">
                  <c:v>46531.6593420632</c:v>
                </c:pt>
                <c:pt idx="5">
                  <c:v>49294.2576595082</c:v>
                </c:pt>
              </c:numCache>
            </c:numRef>
          </c:val>
          <c:smooth val="0"/>
        </c:ser>
        <c:ser>
          <c:idx val="4"/>
          <c:order val="4"/>
          <c:tx>
            <c:strRef>
              <c:f>'T. MUNICIPI'!$A$82</c:f>
              <c:strCache>
                <c:ptCount val="1"/>
                <c:pt idx="0">
                  <c:v>Transport</c:v>
                </c:pt>
              </c:strCache>
            </c:strRef>
          </c:tx>
          <c:spPr>
            <a:solidFill>
              <a:srgbClr val="3d97af"/>
            </a:solidFill>
            <a:ln w="28440">
              <a:solidFill>
                <a:srgbClr val="3d97af"/>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MUNICIPI'!$B$82:$G$82</c:f>
              <c:numCache>
                <c:formatCode>General</c:formatCode>
                <c:ptCount val="6"/>
                <c:pt idx="0">
                  <c:v>22624.6883334242</c:v>
                </c:pt>
                <c:pt idx="1">
                  <c:v>23759.3785080101</c:v>
                </c:pt>
                <c:pt idx="2">
                  <c:v>24855.8759331337</c:v>
                </c:pt>
                <c:pt idx="3">
                  <c:v>24367.4342758006</c:v>
                </c:pt>
                <c:pt idx="4">
                  <c:v>23271.611774067</c:v>
                </c:pt>
                <c:pt idx="5">
                  <c:v>22664.6299709449</c:v>
                </c:pt>
              </c:numCache>
            </c:numRef>
          </c:val>
          <c:smooth val="0"/>
        </c:ser>
        <c:ser>
          <c:idx val="5"/>
          <c:order val="5"/>
          <c:tx>
            <c:strRef>
              <c:f>'T. MUNICIPI'!$A$83</c:f>
              <c:strCache>
                <c:ptCount val="1"/>
                <c:pt idx="0">
                  <c:v>Residus</c:v>
                </c:pt>
              </c:strCache>
            </c:strRef>
          </c:tx>
          <c:spPr>
            <a:solidFill>
              <a:srgbClr val="db8238"/>
            </a:solidFill>
            <a:ln w="28440">
              <a:solidFill>
                <a:srgbClr val="db8238"/>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MUNICIPI'!$B$83:$G$83</c:f>
              <c:numCache>
                <c:formatCode>General</c:formatCode>
                <c:ptCount val="6"/>
                <c:pt idx="0">
                  <c:v>8729.33717074606</c:v>
                </c:pt>
                <c:pt idx="1">
                  <c:v>9238.7148318758</c:v>
                </c:pt>
                <c:pt idx="2">
                  <c:v>10218.822147659</c:v>
                </c:pt>
                <c:pt idx="3">
                  <c:v>8981.01779429749</c:v>
                </c:pt>
                <c:pt idx="4">
                  <c:v>8007.43090743706</c:v>
                </c:pt>
                <c:pt idx="5">
                  <c:v>8033.92078866066</c:v>
                </c:pt>
              </c:numCache>
            </c:numRef>
          </c:val>
          <c:smooth val="0"/>
        </c:ser>
        <c:ser>
          <c:idx val="6"/>
          <c:order val="6"/>
          <c:tx>
            <c:strRef>
              <c:f>'T. MUNICIPI'!$A$84</c:f>
              <c:strCache>
                <c:ptCount val="1"/>
                <c:pt idx="0">
                  <c:v>Aigua</c:v>
                </c:pt>
              </c:strCache>
            </c:strRef>
          </c:tx>
          <c:spPr>
            <a:solidFill>
              <a:srgbClr val="8ea5ca"/>
            </a:solidFill>
            <a:ln w="28440">
              <a:solidFill>
                <a:srgbClr val="8ea5ca"/>
              </a:solidFill>
              <a:round/>
            </a:ln>
          </c:spPr>
          <c:marker>
            <c:symbol val="none"/>
          </c:marker>
          <c:dLbls>
            <c:showLegendKey val="0"/>
            <c:showVal val="0"/>
            <c:showCatName val="0"/>
            <c:showSerName val="0"/>
            <c:showPercent val="0"/>
            <c:showLeaderLines val="0"/>
          </c:dLbls>
          <c:cat>
            <c:strRef>
              <c:f>'T. MUNICIPI'!$B$77:$G$77</c:f>
              <c:strCache>
                <c:ptCount val="6"/>
                <c:pt idx="0">
                  <c:v>2005</c:v>
                </c:pt>
                <c:pt idx="1">
                  <c:v>2006</c:v>
                </c:pt>
                <c:pt idx="2">
                  <c:v>2007</c:v>
                </c:pt>
                <c:pt idx="3">
                  <c:v>2008</c:v>
                </c:pt>
                <c:pt idx="4">
                  <c:v>2009</c:v>
                </c:pt>
                <c:pt idx="5">
                  <c:v>2010</c:v>
                </c:pt>
              </c:strCache>
            </c:strRef>
          </c:cat>
          <c:val>
            <c:numRef>
              <c:f>'T. MUNICIPI'!$B$84:$G$84</c:f>
              <c:numCache>
                <c:formatCode>General</c:formatCode>
                <c:ptCount val="6"/>
                <c:pt idx="0">
                  <c:v>5059.356359382</c:v>
                </c:pt>
                <c:pt idx="1">
                  <c:v>6064.308038664</c:v>
                </c:pt>
                <c:pt idx="2">
                  <c:v>5559.329544048</c:v>
                </c:pt>
                <c:pt idx="3">
                  <c:v>5878.39124928</c:v>
                </c:pt>
                <c:pt idx="4">
                  <c:v>6211.316544048</c:v>
                </c:pt>
                <c:pt idx="5">
                  <c:v>3867.280932867</c:v>
                </c:pt>
              </c:numCache>
            </c:numRef>
          </c:val>
          <c:smooth val="0"/>
        </c:ser>
        <c:hiLowLines>
          <c:spPr>
            <a:ln>
              <a:noFill/>
            </a:ln>
          </c:spPr>
        </c:hiLowLines>
        <c:marker val="0"/>
        <c:axId val="9026718"/>
        <c:axId val="38369652"/>
      </c:lineChart>
      <c:catAx>
        <c:axId val="9026718"/>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8369652"/>
        <c:crosses val="autoZero"/>
        <c:auto val="1"/>
        <c:lblAlgn val="ctr"/>
        <c:lblOffset val="100"/>
      </c:catAx>
      <c:valAx>
        <c:axId val="3836965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municipi</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026718"/>
        <c:crosses val="autoZero"/>
        <c:crossBetween val="midCat"/>
      </c:valAx>
      <c:spPr>
        <a:solidFill>
          <a:srgbClr val="ffffff"/>
        </a:solidFill>
        <a:ln>
          <a:noFill/>
        </a:ln>
      </c:spPr>
    </c:plotArea>
    <c:legend>
      <c:layout>
        <c:manualLayout>
          <c:xMode val="edge"/>
          <c:yMode val="edge"/>
          <c:x val="0.708886370993849"/>
          <c:y val="0.0236095017381228"/>
        </c:manualLayout>
      </c:layout>
      <c:spPr>
        <a:noFill/>
        <a:ln>
          <a:noFill/>
        </a:ln>
      </c:spPr>
    </c:legend>
    <c:plotVisOnly val="1"/>
    <c:dispBlanksAs val="gap"/>
  </c:chart>
  <c:spPr>
    <a:solidFill>
      <a:srgbClr val="ffffff"/>
    </a:solidFill>
    <a:ln>
      <a:noFill/>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DOMÈSTIC,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385706914344685"/>
          <c:y val="0.178571428571429"/>
          <c:w val="0.766124871001032"/>
          <c:h val="0.758403361344538"/>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2176.057949</c:v>
                </c:pt>
                <c:pt idx="1">
                  <c:v>658.997527999998</c:v>
                </c:pt>
                <c:pt idx="2">
                  <c:v>139.29749672</c:v>
                </c:pt>
                <c:pt idx="3">
                  <c:v>129.817968713077</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41.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EE</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0</c:v>
                </c:pt>
                <c:pt idx="1">
                  <c:v>0</c:v>
                </c:pt>
                <c:pt idx="2">
                  <c:v>0</c:v>
                </c:pt>
                <c:pt idx="3">
                  <c:v>0</c:v>
                </c:pt>
                <c:pt idx="4">
                  <c:v>0</c:v>
                </c:pt>
                <c:pt idx="5">
                  <c:v>0</c:v>
                </c:pt>
                <c:pt idx="6">
                  <c:v>0</c:v>
                </c:pt>
                <c:pt idx="7">
                  <c:v>0</c:v>
                </c:pt>
              </c:numCache>
            </c:numRef>
          </c:val>
        </c:ser>
        <c:ser>
          <c:idx val="1"/>
          <c:order val="1"/>
          <c:tx>
            <c:strRef>
              <c:f>label 1</c:f>
              <c:strCache>
                <c:ptCount val="1"/>
                <c:pt idx="0">
                  <c:v>GN</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0</c:v>
                </c:pt>
                <c:pt idx="1">
                  <c:v>0</c:v>
                </c:pt>
                <c:pt idx="2">
                  <c:v>0</c:v>
                </c:pt>
                <c:pt idx="3">
                  <c:v>0</c:v>
                </c:pt>
                <c:pt idx="4">
                  <c:v>0</c:v>
                </c:pt>
                <c:pt idx="5">
                  <c:v>0</c:v>
                </c:pt>
                <c:pt idx="6">
                  <c:v>0</c:v>
                </c:pt>
                <c:pt idx="7">
                  <c:v>0</c:v>
                </c:pt>
              </c:numCache>
            </c:numRef>
          </c:val>
        </c:ser>
        <c:ser>
          <c:idx val="2"/>
          <c:order val="2"/>
          <c:tx>
            <c:strRef>
              <c:f>label 2</c:f>
              <c:strCache>
                <c:ptCount val="1"/>
                <c:pt idx="0">
                  <c:v>GLP</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0</c:v>
                </c:pt>
                <c:pt idx="1">
                  <c:v>0</c:v>
                </c:pt>
                <c:pt idx="2">
                  <c:v>0</c:v>
                </c:pt>
                <c:pt idx="3">
                  <c:v>0</c:v>
                </c:pt>
                <c:pt idx="4">
                  <c:v>0</c:v>
                </c:pt>
                <c:pt idx="5">
                  <c:v>0</c:v>
                </c:pt>
                <c:pt idx="6">
                  <c:v>0</c:v>
                </c:pt>
                <c:pt idx="7">
                  <c:v>0</c:v>
                </c:pt>
              </c:numCache>
            </c:numRef>
          </c:val>
        </c:ser>
        <c:ser>
          <c:idx val="3"/>
          <c:order val="3"/>
          <c:tx>
            <c:strRef>
              <c:f>label 3</c:f>
              <c:strCache>
                <c:ptCount val="1"/>
                <c:pt idx="0">
                  <c:v>Transport (CL)</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3</c:f>
              <c:numCache>
                <c:formatCode>General</c:formatCode>
                <c:ptCount val="8"/>
                <c:pt idx="0">
                  <c:v>68.3279650872</c:v>
                </c:pt>
                <c:pt idx="1">
                  <c:v>68.3279650872</c:v>
                </c:pt>
                <c:pt idx="2">
                  <c:v>68.3279650872</c:v>
                </c:pt>
                <c:pt idx="3">
                  <c:v>68.3279650872</c:v>
                </c:pt>
                <c:pt idx="4">
                  <c:v>68.3279650872</c:v>
                </c:pt>
                <c:pt idx="5">
                  <c:v>68.3279650872</c:v>
                </c:pt>
                <c:pt idx="6">
                  <c:v>68.3279650872</c:v>
                </c:pt>
                <c:pt idx="7">
                  <c:v>68.3279650872</c:v>
                </c:pt>
              </c:numCache>
            </c:numRef>
          </c:val>
        </c:ser>
        <c:ser>
          <c:idx val="4"/>
          <c:order val="4"/>
          <c:tx>
            <c:strRef>
              <c:f>label 4</c:f>
              <c:strCache>
                <c:ptCount val="1"/>
                <c:pt idx="0">
                  <c:v>Residus</c:v>
                </c:pt>
              </c:strCache>
            </c:strRef>
          </c:tx>
          <c:spPr>
            <a:solidFill>
              <a:srgbClr val="f7964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4</c:f>
              <c:numCache>
                <c:formatCode>General</c:formatCode>
                <c:ptCount val="8"/>
                <c:pt idx="0">
                  <c:v>1176.4446764733</c:v>
                </c:pt>
                <c:pt idx="1">
                  <c:v>1159.30497</c:v>
                </c:pt>
                <c:pt idx="2">
                  <c:v>981.303879490982</c:v>
                </c:pt>
                <c:pt idx="3">
                  <c:v>1148.10982285971</c:v>
                </c:pt>
                <c:pt idx="4">
                  <c:v>1160.16594468674</c:v>
                </c:pt>
                <c:pt idx="5">
                  <c:v>1257.00730289002</c:v>
                </c:pt>
                <c:pt idx="6">
                  <c:v>1337.04478929004</c:v>
                </c:pt>
                <c:pt idx="7">
                  <c:v>721.04954947252</c:v>
                </c:pt>
              </c:numCache>
            </c:numRef>
          </c:val>
        </c:ser>
        <c:gapWidth val="75"/>
        <c:shape val="box"/>
        <c:axId val="36463088"/>
        <c:axId val="90458810"/>
        <c:axId val="0"/>
      </c:bar3DChart>
      <c:catAx>
        <c:axId val="36463088"/>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90458810"/>
        <c:crosses val="autoZero"/>
        <c:auto val="1"/>
        <c:lblAlgn val="ctr"/>
        <c:lblOffset val="100"/>
      </c:catAx>
      <c:valAx>
        <c:axId val="90458810"/>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RESIDUS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36463088"/>
        <c:crosses val="autoZero"/>
        <c:crossBetween val="midCat"/>
      </c:valAx>
      <c:spPr>
        <a:noFill/>
        <a:ln w="9360">
          <a:solidFill>
            <a:srgbClr val="878787"/>
          </a:solidFill>
          <a:round/>
        </a:ln>
      </c:spPr>
    </c:plotArea>
    <c:legend>
      <c:layout>
        <c:manualLayout>
          <c:xMode val="edge"/>
          <c:yMode val="edge"/>
          <c:x val="0.726413889952764"/>
          <c:y val="0.417407407407407"/>
        </c:manualLayout>
      </c:layout>
      <c:spPr>
        <a:noFill/>
        <a:ln>
          <a:noFill/>
        </a:ln>
      </c:spPr>
    </c:legend>
    <c:plotVisOnly val="1"/>
    <c:dispBlanksAs val="gap"/>
  </c:chart>
  <c:spPr>
    <a:solidFill>
      <a:srgbClr val="ffffff"/>
    </a:solidFill>
    <a:ln>
      <a:noFill/>
    </a:ln>
  </c:spPr>
</c:chartSpace>
</file>

<file path=xl/charts/chart4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RESIDUS, ANY 2005</a:t>
            </a:r>
          </a:p>
        </c:rich>
      </c:tx>
      <c:layout>
        <c:manualLayout>
          <c:xMode val="edge"/>
          <c:yMode val="edge"/>
          <c:x val="0.139189886480908"/>
          <c:y val="0.0571610034931724"/>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Pt>
            <c:idx val="4"/>
            <c:spPr>
              <a:solidFill>
                <a:srgbClr val="f79646"/>
              </a:solidFill>
              <a:ln>
                <a:noFill/>
              </a:ln>
            </c:spPr>
          </c:dPt>
          <c:dLbls>
            <c:dLbl>
              <c:idx val="0"/>
              <c:dLblPos val="bestFit"/>
              <c:showLegendKey val="0"/>
              <c:showVal val="0"/>
              <c:showCatName val="0"/>
              <c:showSerName val="0"/>
              <c:showPercent val="0"/>
            </c:dLbl>
            <c:dLbl>
              <c:idx val="1"/>
              <c:dLblPos val="bestFit"/>
              <c:showLegendKey val="0"/>
              <c:showVal val="0"/>
              <c:showCatName val="0"/>
              <c:showSerName val="0"/>
              <c:showPercent val="0"/>
            </c:dLbl>
            <c:dLbl>
              <c:idx val="2"/>
              <c:dLblPos val="bestFit"/>
              <c:showLegendKey val="0"/>
              <c:showVal val="0"/>
              <c:showCatName val="0"/>
              <c:showSerName val="0"/>
              <c:showPercent val="0"/>
            </c:dLbl>
            <c:dLbl>
              <c:idx val="3"/>
              <c:dLblPos val="bestFit"/>
              <c:showLegendKey val="0"/>
              <c:showVal val="0"/>
              <c:showCatName val="1"/>
              <c:showSerName val="0"/>
              <c:showPercent val="1"/>
            </c:dLbl>
            <c:dLbl>
              <c:idx val="4"/>
              <c:dLblPos val="bestFit"/>
              <c:showLegendKey val="0"/>
              <c:showVal val="0"/>
              <c:showCatName val="1"/>
              <c:showSerName val="0"/>
              <c:showPercent val="1"/>
            </c:dLbl>
            <c:dLblPos val="bestFit"/>
            <c:showLegendKey val="0"/>
            <c:showVal val="0"/>
            <c:showCatName val="1"/>
            <c:showSerName val="0"/>
            <c:showPercent val="1"/>
            <c:showLeaderLines val="0"/>
          </c:dLbls>
          <c:cat>
            <c:strRef>
              <c:f>categories</c:f>
              <c:strCache>
                <c:ptCount val="5"/>
                <c:pt idx="0">
                  <c:v/>
                </c:pt>
                <c:pt idx="1">
                  <c:v/>
                </c:pt>
                <c:pt idx="2">
                  <c:v/>
                </c:pt>
                <c:pt idx="3">
                  <c:v/>
                </c:pt>
                <c:pt idx="4">
                  <c:v/>
                </c:pt>
              </c:strCache>
            </c:strRef>
          </c:cat>
          <c:val>
            <c:numRef>
              <c:f>0</c:f>
              <c:numCache>
                <c:formatCode>General</c:formatCode>
                <c:ptCount val="5"/>
                <c:pt idx="0">
                  <c:v>0</c:v>
                </c:pt>
                <c:pt idx="1">
                  <c:v>0</c:v>
                </c:pt>
                <c:pt idx="2">
                  <c:v>0</c:v>
                </c:pt>
                <c:pt idx="3">
                  <c:v>68.3279650872</c:v>
                </c:pt>
                <c:pt idx="4">
                  <c:v>1257.00730289002</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43.xml><?xml version="1.0" encoding="utf-8"?>
<c:chartSpace xmlns:c="http://schemas.openxmlformats.org/drawingml/2006/chart" xmlns:a="http://schemas.openxmlformats.org/drawingml/2006/main" xmlns:r="http://schemas.openxmlformats.org/officeDocument/2006/relationships">
  <c:lang val="en-US"/>
  <c:roundedCorners val="0"/>
  <c:chart>
    <c:view3D>
      <c:rotX val="15"/>
      <c:rotY val="20"/>
      <c:rAngAx val="1"/>
      <c:perspective val="30"/>
    </c:view3D>
    <c:floor>
      <c:spPr>
        <a:noFill/>
        <a:ln w="9360">
          <a:solidFill>
            <a:srgbClr val="878787"/>
          </a:solidFill>
          <a:round/>
        </a:ln>
      </c:spPr>
    </c:floor>
    <c:backWall>
      <c:spPr>
        <a:noFill/>
        <a:ln w="9360">
          <a:solidFill>
            <a:srgbClr val="878787"/>
          </a:solidFill>
          <a:round/>
        </a:ln>
      </c:spPr>
    </c:backWall>
    <c:plotArea>
      <c:bar3DChart>
        <c:barDir val="col"/>
        <c:grouping val="stacked"/>
        <c:varyColors val="0"/>
        <c:ser>
          <c:idx val="0"/>
          <c:order val="0"/>
          <c:tx>
            <c:strRef>
              <c:f>label 0</c:f>
              <c:strCache>
                <c:ptCount val="1"/>
                <c:pt idx="0">
                  <c:v>BOMBEIG</c:v>
                </c:pt>
              </c:strCache>
            </c:strRef>
          </c:tx>
          <c:spPr>
            <a:solidFill>
              <a:srgbClr val="9bbb59"/>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0</c:f>
              <c:numCache>
                <c:formatCode>General</c:formatCode>
                <c:ptCount val="8"/>
                <c:pt idx="0">
                  <c:v>209.6499</c:v>
                </c:pt>
                <c:pt idx="1">
                  <c:v>183.95088</c:v>
                </c:pt>
                <c:pt idx="2">
                  <c:v>211.00248</c:v>
                </c:pt>
                <c:pt idx="3">
                  <c:v>181.69658</c:v>
                </c:pt>
                <c:pt idx="4">
                  <c:v>188.00862</c:v>
                </c:pt>
                <c:pt idx="5">
                  <c:v>216.86366</c:v>
                </c:pt>
                <c:pt idx="6">
                  <c:v>193.347</c:v>
                </c:pt>
                <c:pt idx="7">
                  <c:v>214.84171</c:v>
                </c:pt>
              </c:numCache>
            </c:numRef>
          </c:val>
        </c:ser>
        <c:ser>
          <c:idx val="1"/>
          <c:order val="1"/>
          <c:tx>
            <c:strRef>
              <c:f>label 1</c:f>
              <c:strCache>
                <c:ptCount val="1"/>
                <c:pt idx="0">
                  <c:v>ETAP </c:v>
                </c:pt>
              </c:strCache>
            </c:strRef>
          </c:tx>
          <c:spPr>
            <a:solidFill>
              <a:srgbClr val="8064a2"/>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1</c:f>
              <c:numCache>
                <c:formatCode>General</c:formatCode>
                <c:ptCount val="8"/>
                <c:pt idx="0">
                  <c:v>0</c:v>
                </c:pt>
                <c:pt idx="1">
                  <c:v>0</c:v>
                </c:pt>
                <c:pt idx="2">
                  <c:v>0</c:v>
                </c:pt>
                <c:pt idx="3">
                  <c:v>0</c:v>
                </c:pt>
                <c:pt idx="4">
                  <c:v>0</c:v>
                </c:pt>
                <c:pt idx="5">
                  <c:v>0</c:v>
                </c:pt>
                <c:pt idx="6">
                  <c:v>0</c:v>
                </c:pt>
                <c:pt idx="7">
                  <c:v>0</c:v>
                </c:pt>
              </c:numCache>
            </c:numRef>
          </c:val>
        </c:ser>
        <c:ser>
          <c:idx val="2"/>
          <c:order val="2"/>
          <c:tx>
            <c:strRef>
              <c:f>label 2</c:f>
              <c:strCache>
                <c:ptCount val="1"/>
                <c:pt idx="0">
                  <c:v>EDAR</c:v>
                </c:pt>
              </c:strCache>
            </c:strRef>
          </c:tx>
          <c:spPr>
            <a:solidFill>
              <a:srgbClr val="4bacc6"/>
            </a:solidFill>
            <a:ln>
              <a:noFill/>
            </a:ln>
          </c:spPr>
          <c:invertIfNegative val="0"/>
          <c:dLbls>
            <c:showLegendKey val="0"/>
            <c:showVal val="0"/>
            <c:showCatName val="0"/>
            <c:showSerName val="0"/>
            <c:showPercent val="0"/>
            <c:showLeaderLines val="0"/>
          </c:dLbls>
          <c:cat>
            <c:strRef>
              <c:f>categories</c:f>
              <c:strCache>
                <c:ptCount val="8"/>
                <c:pt idx="0">
                  <c:v>2000</c:v>
                </c:pt>
                <c:pt idx="1">
                  <c:v>2001</c:v>
                </c:pt>
                <c:pt idx="2">
                  <c:v>2002</c:v>
                </c:pt>
                <c:pt idx="3">
                  <c:v>2003</c:v>
                </c:pt>
                <c:pt idx="4">
                  <c:v>2004</c:v>
                </c:pt>
                <c:pt idx="5">
                  <c:v>2005</c:v>
                </c:pt>
                <c:pt idx="6">
                  <c:v>2006</c:v>
                </c:pt>
                <c:pt idx="7">
                  <c:v>2007</c:v>
                </c:pt>
              </c:strCache>
            </c:strRef>
          </c:cat>
          <c:val>
            <c:numRef>
              <c:f>2</c:f>
              <c:numCache>
                <c:formatCode>General</c:formatCode>
                <c:ptCount val="8"/>
                <c:pt idx="0">
                  <c:v>141.271476112635</c:v>
                </c:pt>
                <c:pt idx="1">
                  <c:v>140.661927427859</c:v>
                </c:pt>
                <c:pt idx="2">
                  <c:v>166.42156099078</c:v>
                </c:pt>
                <c:pt idx="3">
                  <c:v>123.084915297616</c:v>
                </c:pt>
                <c:pt idx="4">
                  <c:v>132.532343642299</c:v>
                </c:pt>
                <c:pt idx="5">
                  <c:v>160.024345049412</c:v>
                </c:pt>
                <c:pt idx="6">
                  <c:v>159.599519526391</c:v>
                </c:pt>
                <c:pt idx="7">
                  <c:v>174.490906497878</c:v>
                </c:pt>
              </c:numCache>
            </c:numRef>
          </c:val>
        </c:ser>
        <c:gapWidth val="75"/>
        <c:shape val="box"/>
        <c:axId val="18119029"/>
        <c:axId val="17298690"/>
        <c:axId val="0"/>
      </c:bar3DChart>
      <c:catAx>
        <c:axId val="18119029"/>
        <c:scaling>
          <c:orientation val="minMax"/>
        </c:scaling>
        <c:delete val="0"/>
        <c:axPos val="b"/>
        <c:numFmt formatCode="DD/MM/YYYY"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17298690"/>
        <c:crosses val="autoZero"/>
        <c:auto val="1"/>
        <c:lblAlgn val="ctr"/>
        <c:lblOffset val="100"/>
      </c:catAx>
      <c:valAx>
        <c:axId val="17298690"/>
        <c:scaling>
          <c:orientation val="minMax"/>
        </c:scaling>
        <c:delete val="0"/>
        <c:axPos val="l"/>
        <c:majorGridlines>
          <c:spPr>
            <a:ln w="9360">
              <a:solidFill>
                <a:srgbClr val="878787"/>
              </a:solidFill>
              <a:round/>
            </a:ln>
          </c:spPr>
        </c:majorGridlines>
        <c:minorGridlines>
          <c:spPr>
            <a:ln w="9360">
              <a:solidFill>
                <a:srgbClr val="b7b7b7"/>
              </a:solidFill>
              <a:round/>
            </a:ln>
          </c:spPr>
        </c:minorGridlines>
        <c:title>
          <c:tx>
            <c:rich>
              <a:bodyPr rot="-540000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AIGUA</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ea typeface="Calibri"/>
              </a:defRPr>
            </a:pPr>
          </a:p>
        </c:txPr>
        <c:crossAx val="18119029"/>
        <c:crosses val="autoZero"/>
        <c:crossBetween val="midCat"/>
      </c:valAx>
      <c:spPr>
        <a:noFill/>
        <a:ln w="9360">
          <a:solidFill>
            <a:srgbClr val="878787"/>
          </a:solidFill>
          <a:round/>
        </a:ln>
      </c:spPr>
    </c:plotArea>
    <c:legend>
      <c:layout>
        <c:manualLayout>
          <c:xMode val="edge"/>
          <c:yMode val="edge"/>
          <c:x val="0.779182252031472"/>
          <c:y val="0.361995104039168"/>
        </c:manualLayout>
      </c:layout>
      <c:spPr>
        <a:noFill/>
        <a:ln>
          <a:noFill/>
        </a:ln>
      </c:spPr>
    </c:legend>
    <c:plotVisOnly val="1"/>
    <c:dispBlanksAs val="gap"/>
  </c:chart>
  <c:spPr>
    <a:solidFill>
      <a:srgbClr val="ffffff"/>
    </a:solidFill>
    <a:ln>
      <a:noFill/>
    </a:ln>
  </c:spPr>
</c:chartSpace>
</file>

<file path=xl/charts/chart4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AIGUA, ANY 2005</a:t>
            </a:r>
          </a:p>
        </c:rich>
      </c:tx>
      <c:layout>
        <c:manualLayout>
          <c:xMode val="edge"/>
          <c:yMode val="edge"/>
          <c:x val="0.156604747162023"/>
          <c:y val="0.0507955936352509"/>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label 0</c:f>
              <c:strCache>
                <c:ptCount val="1"/>
                <c:pt idx="0">
                  <c:v/>
                </c:pt>
              </c:strCache>
            </c:strRef>
          </c:tx>
          <c:spPr>
            <a:solidFill>
              <a:srgbClr val="c0504d"/>
            </a:solidFill>
            <a:ln>
              <a:noFill/>
            </a:ln>
          </c:spPr>
          <c:explosion val="0"/>
          <c:dPt>
            <c:idx val="0"/>
            <c:spPr>
              <a:solidFill>
                <a:srgbClr val="9bbb59"/>
              </a:solidFill>
              <a:ln>
                <a:noFill/>
              </a:ln>
            </c:spPr>
          </c:dPt>
          <c:dPt>
            <c:idx val="1"/>
            <c:spPr>
              <a:solidFill>
                <a:srgbClr val="8064a2"/>
              </a:solidFill>
              <a:ln>
                <a:noFill/>
              </a:ln>
            </c:spPr>
          </c:dPt>
          <c:dPt>
            <c:idx val="2"/>
            <c:spPr>
              <a:solidFill>
                <a:srgbClr val="4bacc6"/>
              </a:solidFill>
              <a:ln>
                <a:noFill/>
              </a:ln>
            </c:spPr>
          </c:dPt>
          <c:dLbls>
            <c:dLbl>
              <c:idx val="0"/>
              <c:dLblPos val="bestFit"/>
              <c:showLegendKey val="0"/>
              <c:showVal val="0"/>
              <c:showCatName val="1"/>
              <c:showSerName val="0"/>
              <c:showPercent val="1"/>
            </c:dLbl>
            <c:dLbl>
              <c:idx val="1"/>
              <c:dLblPos val="bestFit"/>
              <c:showLegendKey val="0"/>
              <c:showVal val="0"/>
              <c:showCatName val="0"/>
              <c:showSerName val="0"/>
              <c:showPercent val="0"/>
            </c:dLbl>
            <c:dLbl>
              <c:idx val="2"/>
              <c:dLblPos val="bestFit"/>
              <c:showLegendKey val="0"/>
              <c:showVal val="0"/>
              <c:showCatName val="1"/>
              <c:showSerName val="0"/>
              <c:showPercent val="1"/>
            </c:dLbl>
            <c:dLblPos val="bestFit"/>
            <c:showLegendKey val="0"/>
            <c:showVal val="0"/>
            <c:showCatName val="1"/>
            <c:showSerName val="0"/>
            <c:showPercent val="1"/>
            <c:showLeaderLines val="0"/>
          </c:dLbls>
          <c:cat>
            <c:strRef>
              <c:f>categories</c:f>
              <c:strCache>
                <c:ptCount val="3"/>
                <c:pt idx="0">
                  <c:v/>
                </c:pt>
                <c:pt idx="1">
                  <c:v/>
                </c:pt>
                <c:pt idx="2">
                  <c:v/>
                </c:pt>
              </c:strCache>
            </c:strRef>
          </c:cat>
          <c:val>
            <c:numRef>
              <c:f>0</c:f>
              <c:numCache>
                <c:formatCode>General</c:formatCode>
                <c:ptCount val="3"/>
                <c:pt idx="0">
                  <c:v>216.86366</c:v>
                </c:pt>
                <c:pt idx="1">
                  <c:v>0</c:v>
                </c:pt>
                <c:pt idx="2">
                  <c:v>160.024345049412</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4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PAES, ANY 2007</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104360165118679"/>
          <c:y val="0.190854870775348"/>
          <c:w val="0.686274509803922"/>
          <c:h val="0.681908548707754"/>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10829.8126647807</c:v>
                </c:pt>
                <c:pt idx="1">
                  <c:v>6062.725</c:v>
                </c:pt>
                <c:pt idx="2">
                  <c:v>726.523392</c:v>
                </c:pt>
                <c:pt idx="3">
                  <c:v>27678.2537175427</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4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DOMÈSTIC, ANY 2007</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74045407636739"/>
          <c:y val="0.178571428571429"/>
          <c:w val="0.747420020639835"/>
          <c:h val="0.739495798319328"/>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5089.24</c:v>
                </c:pt>
                <c:pt idx="1">
                  <c:v>4059.721</c:v>
                </c:pt>
                <c:pt idx="2">
                  <c:v>527.594368</c:v>
                </c:pt>
                <c:pt idx="3">
                  <c:v>452.109122524409</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4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MWh SECTOR AIGUA, ANY 2007</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517285861713106"/>
          <c:y val="0.159097836025602"/>
          <c:w val="0.672987616099071"/>
          <c:h val="0.766382200548613"/>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4bacc6"/>
              </a:solidFill>
              <a:ln>
                <a:noFill/>
              </a:ln>
            </c:spPr>
          </c:dPt>
          <c:dPt>
            <c:idx val="1"/>
            <c:spPr>
              <a:solidFill>
                <a:srgbClr val="8064a2"/>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3"/>
                <c:pt idx="0">
                  <c:v/>
                </c:pt>
                <c:pt idx="1">
                  <c:v/>
                </c:pt>
                <c:pt idx="2">
                  <c:v/>
                </c:pt>
              </c:strCache>
            </c:strRef>
          </c:cat>
          <c:val>
            <c:numRef>
              <c:f>0</c:f>
              <c:numCache>
                <c:formatCode>General</c:formatCode>
                <c:ptCount val="3"/>
                <c:pt idx="0">
                  <c:v>393.884664780766</c:v>
                </c:pt>
                <c:pt idx="1">
                  <c:v>0</c:v>
                </c:pt>
                <c:pt idx="2">
                  <c:v>484.97</c:v>
                </c:pt>
              </c:numCache>
            </c:numRef>
          </c:val>
        </c:ser>
      </c:pie3DChart>
      <c:spPr>
        <a:solidFill>
          <a:srgbClr val="d9d9d9"/>
        </a:solidFill>
        <a:ln>
          <a:noFill/>
        </a:ln>
      </c:spPr>
    </c:plotArea>
    <c:legend>
      <c:layout>
        <c:manualLayout>
          <c:xMode val="edge"/>
          <c:yMode val="edge"/>
          <c:x val="0.782636738906089"/>
          <c:y val="0.424108503505029"/>
        </c:manualLayout>
      </c:layout>
      <c:spPr>
        <a:noFill/>
        <a:ln>
          <a:noFill/>
        </a:ln>
      </c:spPr>
    </c:legend>
    <c:plotVisOnly val="1"/>
    <c:dispBlanksAs val="zero"/>
  </c:chart>
  <c:spPr>
    <a:solidFill>
      <a:srgbClr val="ffffff"/>
    </a:solidFill>
    <a:ln>
      <a:noFill/>
    </a:ln>
  </c:spPr>
</c:chartSpace>
</file>

<file path=xl/charts/chart4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PAES, ANY 2007</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256707946336429"/>
          <c:y val="0.159045725646123"/>
          <c:w val="0.739164086687306"/>
          <c:h val="0.797216699801193"/>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4797.60701049788</c:v>
                </c:pt>
                <c:pt idx="1">
                  <c:v>1224.67044999998</c:v>
                </c:pt>
                <c:pt idx="2">
                  <c:v>164.920809984</c:v>
                </c:pt>
                <c:pt idx="3">
                  <c:v>7266.92967817978</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4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DOMÈSTIC, ANY 2007</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layout>
        <c:manualLayout>
          <c:layoutTarget val="inner"/>
          <c:xMode val="edge"/>
          <c:yMode val="edge"/>
          <c:x val="0.0385657164968399"/>
          <c:y val="0.178571428571429"/>
          <c:w val="0.766155036759964"/>
          <c:h val="0.758403361344538"/>
        </c:manualLayout>
      </c:layout>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categories</c:f>
              <c:strCache>
                <c:ptCount val="4"/>
                <c:pt idx="0">
                  <c:v/>
                </c:pt>
                <c:pt idx="1">
                  <c:v/>
                </c:pt>
                <c:pt idx="2">
                  <c:v/>
                </c:pt>
                <c:pt idx="3">
                  <c:v/>
                </c:pt>
              </c:strCache>
            </c:strRef>
          </c:cat>
          <c:val>
            <c:numRef>
              <c:f>0</c:f>
              <c:numCache>
                <c:formatCode>General</c:formatCode>
                <c:ptCount val="4"/>
                <c:pt idx="0">
                  <c:v>2254.53332000002</c:v>
                </c:pt>
                <c:pt idx="1">
                  <c:v>820.063642</c:v>
                </c:pt>
                <c:pt idx="2">
                  <c:v>119.763921536</c:v>
                </c:pt>
                <c:pt idx="3">
                  <c:v>120.713135714018</c:v>
                </c:pt>
              </c:numCache>
            </c:numRef>
          </c:val>
        </c:ser>
      </c:pie3DChart>
      <c:spPr>
        <a:solidFill>
          <a:srgbClr val="d9d9d9"/>
        </a:solidFill>
        <a:ln>
          <a:noFill/>
        </a:ln>
      </c:spPr>
    </c:plotArea>
    <c:legend>
      <c:layout>
        <c:manualLayout>
          <c:xMode val="edge"/>
          <c:yMode val="edge"/>
          <c:x val="0"/>
          <c:y val="0"/>
        </c:manualLayout>
      </c:layout>
      <c:spPr>
        <a:noFill/>
        <a:ln>
          <a:noFill/>
        </a:ln>
      </c:spPr>
    </c:legend>
    <c:plotVisOnly val="1"/>
    <c:dispBlanksAs val="zero"/>
  </c:chart>
  <c:spPr>
    <a:solidFill>
      <a:srgbClr val="ffffff"/>
    </a:solidFill>
    <a:ln>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34949083503055"/>
          <c:y val="0.0698109676211866"/>
          <c:w val="0.552097759674134"/>
          <c:h val="0.702975856260528"/>
        </c:manualLayout>
      </c:layout>
      <c:barChart>
        <c:barDir val="col"/>
        <c:grouping val="stacked"/>
        <c:varyColors val="0"/>
        <c:ser>
          <c:idx val="0"/>
          <c:order val="0"/>
          <c:tx>
            <c:strRef>
              <c:f>'T. MUNICIPI'!$A$94</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MUNICIPI'!$B$92:$G$92</c:f>
              <c:strCache>
                <c:ptCount val="6"/>
                <c:pt idx="0">
                  <c:v>2005</c:v>
                </c:pt>
                <c:pt idx="1">
                  <c:v>2006</c:v>
                </c:pt>
                <c:pt idx="2">
                  <c:v>2007</c:v>
                </c:pt>
                <c:pt idx="3">
                  <c:v>2008</c:v>
                </c:pt>
                <c:pt idx="4">
                  <c:v>2009</c:v>
                </c:pt>
                <c:pt idx="5">
                  <c:v>2010</c:v>
                </c:pt>
              </c:strCache>
            </c:strRef>
          </c:cat>
          <c:val>
            <c:numRef>
              <c:f>'T. MUNICIPI'!$B$94:$G$94</c:f>
              <c:numCache>
                <c:formatCode>General</c:formatCode>
                <c:ptCount val="6"/>
                <c:pt idx="0">
                  <c:v>6378.45783883012</c:v>
                </c:pt>
                <c:pt idx="1">
                  <c:v>5598.9888882353</c:v>
                </c:pt>
                <c:pt idx="2">
                  <c:v>4973.51126751592</c:v>
                </c:pt>
                <c:pt idx="3">
                  <c:v>4810.74190762621</c:v>
                </c:pt>
                <c:pt idx="4">
                  <c:v>3920.06090609555</c:v>
                </c:pt>
                <c:pt idx="5">
                  <c:v>3282.12208992601</c:v>
                </c:pt>
              </c:numCache>
            </c:numRef>
          </c:val>
        </c:ser>
        <c:ser>
          <c:idx val="1"/>
          <c:order val="1"/>
          <c:tx>
            <c:strRef>
              <c:f>'T. MUNICIPI'!$A$93</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MUNICIPI'!$B$92:$G$92</c:f>
              <c:strCache>
                <c:ptCount val="6"/>
                <c:pt idx="0">
                  <c:v>2005</c:v>
                </c:pt>
                <c:pt idx="1">
                  <c:v>2006</c:v>
                </c:pt>
                <c:pt idx="2">
                  <c:v>2007</c:v>
                </c:pt>
                <c:pt idx="3">
                  <c:v>2008</c:v>
                </c:pt>
                <c:pt idx="4">
                  <c:v>2009</c:v>
                </c:pt>
                <c:pt idx="5">
                  <c:v>2010</c:v>
                </c:pt>
              </c:strCache>
            </c:strRef>
          </c:cat>
          <c:val>
            <c:numRef>
              <c:f>'T. MUNICIPI'!$B$93:$G$93</c:f>
              <c:numCache>
                <c:formatCode>General</c:formatCode>
                <c:ptCount val="6"/>
                <c:pt idx="0">
                  <c:v>971.556252717973</c:v>
                </c:pt>
                <c:pt idx="1">
                  <c:v>1011.45382410064</c:v>
                </c:pt>
                <c:pt idx="2">
                  <c:v>844.224376625768</c:v>
                </c:pt>
                <c:pt idx="3">
                  <c:v>848.531255716752</c:v>
                </c:pt>
                <c:pt idx="4">
                  <c:v>866.73013547514</c:v>
                </c:pt>
                <c:pt idx="5">
                  <c:v>722.948958738352</c:v>
                </c:pt>
              </c:numCache>
            </c:numRef>
          </c:val>
        </c:ser>
        <c:gapWidth val="150"/>
        <c:overlap val="100"/>
        <c:axId val="50204381"/>
        <c:axId val="80703160"/>
      </c:barChart>
      <c:catAx>
        <c:axId val="50204381"/>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0703160"/>
        <c:crosses val="autoZero"/>
        <c:auto val="1"/>
        <c:lblAlgn val="ctr"/>
        <c:lblOffset val="100"/>
      </c:catAx>
      <c:valAx>
        <c:axId val="8070316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primari</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0204381"/>
        <c:crosses val="autoZero"/>
        <c:crossBetween val="midCat"/>
      </c:valAx>
      <c:spPr>
        <a:solidFill>
          <a:srgbClr val="ffffff"/>
        </a:solidFill>
        <a:ln>
          <a:noFill/>
        </a:ln>
      </c:spPr>
    </c:plotArea>
    <c:legend>
      <c:layout>
        <c:manualLayout>
          <c:xMode val="edge"/>
          <c:yMode val="edge"/>
          <c:x val="0.850835030549898"/>
          <c:y val="0.142429346808909"/>
        </c:manualLayout>
      </c:layout>
      <c:spPr>
        <a:noFill/>
        <a:ln>
          <a:noFill/>
        </a:ln>
      </c:spPr>
    </c:legend>
    <c:plotVisOnly val="1"/>
    <c:dispBlanksAs val="gap"/>
  </c:chart>
  <c:spPr>
    <a:solidFill>
      <a:srgbClr val="ffffff"/>
    </a:solidFill>
    <a:ln>
      <a:noFill/>
    </a:ln>
  </c:spPr>
</c:chartSpace>
</file>

<file path=xl/charts/chart5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RESIDUS, ANY 2007</a:t>
            </a:r>
          </a:p>
        </c:rich>
      </c:tx>
      <c:layout>
        <c:manualLayout>
          <c:xMode val="edge"/>
          <c:yMode val="edge"/>
          <c:x val="0.139189886480908"/>
          <c:y val="0.0571610034931724"/>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label 0</c:f>
              <c:strCache>
                <c:ptCount val="1"/>
                <c:pt idx="0">
                  <c:v/>
                </c:pt>
              </c:strCache>
            </c:strRef>
          </c:tx>
          <c:spPr>
            <a:solidFill>
              <a:srgbClr val="c0504d"/>
            </a:solidFill>
            <a:ln>
              <a:noFill/>
            </a:ln>
          </c:spPr>
          <c:explosion val="0"/>
          <c:dPt>
            <c:idx val="0"/>
            <c:spPr>
              <a:solidFill>
                <a:srgbClr val="c0504d"/>
              </a:solidFill>
              <a:ln>
                <a:noFill/>
              </a:ln>
            </c:spPr>
          </c:dPt>
          <c:dPt>
            <c:idx val="1"/>
            <c:spPr>
              <a:solidFill>
                <a:srgbClr val="9bbb59"/>
              </a:solidFill>
              <a:ln>
                <a:noFill/>
              </a:ln>
            </c:spPr>
          </c:dPt>
          <c:dPt>
            <c:idx val="2"/>
            <c:spPr>
              <a:solidFill>
                <a:srgbClr val="8064a2"/>
              </a:solidFill>
              <a:ln>
                <a:noFill/>
              </a:ln>
            </c:spPr>
          </c:dPt>
          <c:dPt>
            <c:idx val="3"/>
            <c:spPr>
              <a:solidFill>
                <a:srgbClr val="4bacc6"/>
              </a:solidFill>
              <a:ln>
                <a:noFill/>
              </a:ln>
            </c:spPr>
          </c:dPt>
          <c:dPt>
            <c:idx val="4"/>
            <c:spPr>
              <a:solidFill>
                <a:srgbClr val="f79646"/>
              </a:solidFill>
              <a:ln>
                <a:noFill/>
              </a:ln>
            </c:spPr>
          </c:dPt>
          <c:dLbls>
            <c:dLbl>
              <c:idx val="0"/>
              <c:dLblPos val="bestFit"/>
              <c:showLegendKey val="0"/>
              <c:showVal val="0"/>
              <c:showCatName val="0"/>
              <c:showSerName val="0"/>
              <c:showPercent val="0"/>
            </c:dLbl>
            <c:dLbl>
              <c:idx val="1"/>
              <c:dLblPos val="bestFit"/>
              <c:showLegendKey val="0"/>
              <c:showVal val="0"/>
              <c:showCatName val="0"/>
              <c:showSerName val="0"/>
              <c:showPercent val="0"/>
            </c:dLbl>
            <c:dLbl>
              <c:idx val="2"/>
              <c:dLblPos val="bestFit"/>
              <c:showLegendKey val="0"/>
              <c:showVal val="0"/>
              <c:showCatName val="0"/>
              <c:showSerName val="0"/>
              <c:showPercent val="0"/>
            </c:dLbl>
            <c:dLbl>
              <c:idx val="3"/>
              <c:dLblPos val="bestFit"/>
              <c:showLegendKey val="0"/>
              <c:showVal val="0"/>
              <c:showCatName val="1"/>
              <c:showSerName val="0"/>
              <c:showPercent val="1"/>
            </c:dLbl>
            <c:dLbl>
              <c:idx val="4"/>
              <c:dLblPos val="bestFit"/>
              <c:showLegendKey val="0"/>
              <c:showVal val="0"/>
              <c:showCatName val="1"/>
              <c:showSerName val="0"/>
              <c:showPercent val="1"/>
            </c:dLbl>
            <c:dLblPos val="bestFit"/>
            <c:showLegendKey val="0"/>
            <c:showVal val="0"/>
            <c:showCatName val="1"/>
            <c:showSerName val="0"/>
            <c:showPercent val="1"/>
            <c:showLeaderLines val="0"/>
          </c:dLbls>
          <c:cat>
            <c:strRef>
              <c:f>categories</c:f>
              <c:strCache>
                <c:ptCount val="5"/>
                <c:pt idx="0">
                  <c:v/>
                </c:pt>
                <c:pt idx="1">
                  <c:v/>
                </c:pt>
                <c:pt idx="2">
                  <c:v/>
                </c:pt>
                <c:pt idx="3">
                  <c:v/>
                </c:pt>
                <c:pt idx="4">
                  <c:v/>
                </c:pt>
              </c:strCache>
            </c:strRef>
          </c:cat>
          <c:val>
            <c:numRef>
              <c:f>0</c:f>
              <c:numCache>
                <c:formatCode>General</c:formatCode>
                <c:ptCount val="5"/>
                <c:pt idx="0">
                  <c:v>0</c:v>
                </c:pt>
                <c:pt idx="1">
                  <c:v>0</c:v>
                </c:pt>
                <c:pt idx="2">
                  <c:v>0</c:v>
                </c:pt>
                <c:pt idx="3">
                  <c:v>68.3279650872</c:v>
                </c:pt>
                <c:pt idx="4">
                  <c:v>721.04954947252</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5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800" spc="-1" strike="noStrike">
                <a:solidFill>
                  <a:srgbClr val="000000"/>
                </a:solidFill>
                <a:uFill>
                  <a:solidFill>
                    <a:srgbClr val="ffffff"/>
                  </a:solidFill>
                </a:uFill>
                <a:latin typeface="Arial"/>
                <a:ea typeface="Arial"/>
              </a:defRPr>
            </a:pPr>
            <a:r>
              <a:rPr b="1" sz="800" spc="-1" strike="noStrike">
                <a:solidFill>
                  <a:srgbClr val="000000"/>
                </a:solidFill>
                <a:uFill>
                  <a:solidFill>
                    <a:srgbClr val="ffffff"/>
                  </a:solidFill>
                </a:uFill>
                <a:latin typeface="Arial"/>
                <a:ea typeface="Arial"/>
              </a:rPr>
              <a:t>t. CO2 SECTOR AIGUA, ANY 2007</a:t>
            </a:r>
          </a:p>
        </c:rich>
      </c:tx>
      <c:layout>
        <c:manualLayout>
          <c:xMode val="edge"/>
          <c:yMode val="edge"/>
          <c:x val="0.156713530246356"/>
          <c:y val="0.0507955936352509"/>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tx>
            <c:strRef>
              <c:f>label 0</c:f>
              <c:strCache>
                <c:ptCount val="1"/>
                <c:pt idx="0">
                  <c:v/>
                </c:pt>
              </c:strCache>
            </c:strRef>
          </c:tx>
          <c:spPr>
            <a:solidFill>
              <a:srgbClr val="c0504d"/>
            </a:solidFill>
            <a:ln>
              <a:noFill/>
            </a:ln>
          </c:spPr>
          <c:explosion val="0"/>
          <c:dPt>
            <c:idx val="0"/>
            <c:spPr>
              <a:solidFill>
                <a:srgbClr val="9bbb59"/>
              </a:solidFill>
              <a:ln>
                <a:noFill/>
              </a:ln>
            </c:spPr>
          </c:dPt>
          <c:dPt>
            <c:idx val="1"/>
            <c:spPr>
              <a:solidFill>
                <a:srgbClr val="8064a2"/>
              </a:solidFill>
              <a:ln>
                <a:noFill/>
              </a:ln>
            </c:spPr>
          </c:dPt>
          <c:dPt>
            <c:idx val="2"/>
            <c:spPr>
              <a:solidFill>
                <a:srgbClr val="4bacc6"/>
              </a:solidFill>
              <a:ln>
                <a:noFill/>
              </a:ln>
            </c:spPr>
          </c:dPt>
          <c:dLbls>
            <c:dLbl>
              <c:idx val="0"/>
              <c:dLblPos val="bestFit"/>
              <c:showLegendKey val="0"/>
              <c:showVal val="0"/>
              <c:showCatName val="1"/>
              <c:showSerName val="0"/>
              <c:showPercent val="1"/>
            </c:dLbl>
            <c:dLbl>
              <c:idx val="1"/>
              <c:dLblPos val="bestFit"/>
              <c:showLegendKey val="0"/>
              <c:showVal val="0"/>
              <c:showCatName val="0"/>
              <c:showSerName val="0"/>
              <c:showPercent val="0"/>
            </c:dLbl>
            <c:dLbl>
              <c:idx val="2"/>
              <c:dLblPos val="bestFit"/>
              <c:showLegendKey val="0"/>
              <c:showVal val="0"/>
              <c:showCatName val="1"/>
              <c:showSerName val="0"/>
              <c:showPercent val="1"/>
            </c:dLbl>
            <c:dLblPos val="bestFit"/>
            <c:showLegendKey val="0"/>
            <c:showVal val="0"/>
            <c:showCatName val="1"/>
            <c:showSerName val="0"/>
            <c:showPercent val="1"/>
            <c:showLeaderLines val="0"/>
          </c:dLbls>
          <c:cat>
            <c:strRef>
              <c:f>categories</c:f>
              <c:strCache>
                <c:ptCount val="3"/>
                <c:pt idx="0">
                  <c:v/>
                </c:pt>
                <c:pt idx="1">
                  <c:v/>
                </c:pt>
                <c:pt idx="2">
                  <c:v/>
                </c:pt>
              </c:strCache>
            </c:strRef>
          </c:cat>
          <c:val>
            <c:numRef>
              <c:f>0</c:f>
              <c:numCache>
                <c:formatCode>General</c:formatCode>
                <c:ptCount val="3"/>
                <c:pt idx="0">
                  <c:v>214.84171</c:v>
                </c:pt>
                <c:pt idx="1">
                  <c:v>0</c:v>
                </c:pt>
                <c:pt idx="2">
                  <c:v>174.490906497878</c:v>
                </c:pt>
              </c:numCache>
            </c:numRef>
          </c:val>
        </c:ser>
      </c:pie3DChart>
      <c:spPr>
        <a:solidFill>
          <a:srgbClr val="d9d9d9"/>
        </a:solidFill>
        <a:ln>
          <a:noFill/>
        </a:ln>
      </c:spPr>
    </c:plotArea>
    <c:plotVisOnly val="1"/>
    <c:dispBlanksAs val="zero"/>
  </c:chart>
  <c:spPr>
    <a:solidFill>
      <a:srgbClr val="ffffff"/>
    </a:solidFill>
    <a:ln>
      <a:noFill/>
    </a:ln>
  </c:spPr>
</c:chartSpace>
</file>

<file path=xl/charts/chart5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5604431410883"/>
          <c:y val="0.0852665540021509"/>
          <c:w val="0.593434343434343"/>
          <c:h val="0.687509602089415"/>
        </c:manualLayout>
      </c:layout>
      <c:lineChart>
        <c:grouping val="standard"/>
        <c:ser>
          <c:idx val="0"/>
          <c:order val="0"/>
          <c:tx>
            <c:strRef>
              <c:f>'T. PAES'!$A$22</c:f>
              <c:strCache>
                <c:ptCount val="1"/>
                <c:pt idx="0">
                  <c:v>EE</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PAES'!$B$22:$G$22</c:f>
              <c:numCache>
                <c:formatCode>General</c:formatCode>
                <c:ptCount val="6"/>
                <c:pt idx="0">
                  <c:v>72850.7405019298</c:v>
                </c:pt>
                <c:pt idx="1">
                  <c:v>75444.4357514477</c:v>
                </c:pt>
                <c:pt idx="2">
                  <c:v>76991.0904120891</c:v>
                </c:pt>
                <c:pt idx="3">
                  <c:v>76827.9621824255</c:v>
                </c:pt>
                <c:pt idx="4">
                  <c:v>76942.1031615051</c:v>
                </c:pt>
                <c:pt idx="5">
                  <c:v>78833.6404831326</c:v>
                </c:pt>
              </c:numCache>
            </c:numRef>
          </c:val>
          <c:smooth val="0"/>
        </c:ser>
        <c:ser>
          <c:idx val="1"/>
          <c:order val="1"/>
          <c:tx>
            <c:strRef>
              <c:f>'T. PAES'!$A$23</c:f>
              <c:strCache>
                <c:ptCount val="1"/>
                <c:pt idx="0">
                  <c:v/>
                </c:pt>
              </c:strCache>
            </c:strRef>
          </c:tx>
          <c:spPr>
            <a:solidFill>
              <a:srgbClr val="be4b48"/>
            </a:solidFill>
            <a:ln w="28440">
              <a:solidFill>
                <a:srgbClr val="be4b48"/>
              </a:solidFill>
              <a:round/>
            </a:ln>
          </c:spPr>
          <c:marker>
            <c:symbol val="none"/>
          </c:marker>
          <c:cat>
            <c:strRef>
              <c:f>'T. PAES'!$B$21:$G$21</c:f>
              <c:strCache>
                <c:ptCount val="6"/>
                <c:pt idx="0">
                  <c:v>2005</c:v>
                </c:pt>
                <c:pt idx="1">
                  <c:v>2006</c:v>
                </c:pt>
                <c:pt idx="2">
                  <c:v>2007</c:v>
                </c:pt>
                <c:pt idx="3">
                  <c:v>2008</c:v>
                </c:pt>
                <c:pt idx="4">
                  <c:v>2009</c:v>
                </c:pt>
                <c:pt idx="5">
                  <c:v>2010</c:v>
                </c:pt>
              </c:strCache>
            </c:strRef>
          </c:cat>
          <c:val>
            <c:numRef>
              <c:f>'T. PAES'!$B$23:$G$23</c:f>
              <c:numCache>
                <c:formatCode>General</c:formatCode>
                <c:ptCount val="0"/>
              </c:numCache>
            </c:numRef>
          </c:val>
          <c:smooth val="0"/>
        </c:ser>
        <c:ser>
          <c:idx val="2"/>
          <c:order val="2"/>
          <c:tx>
            <c:strRef>
              <c:f>'T. PAES'!$A$24</c:f>
              <c:strCache>
                <c:ptCount val="1"/>
                <c:pt idx="0">
                  <c:v>GLP</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PAES'!$B$24:$G$24</c:f>
              <c:numCache>
                <c:formatCode>General</c:formatCode>
                <c:ptCount val="6"/>
                <c:pt idx="0">
                  <c:v>10421.5682052401</c:v>
                </c:pt>
                <c:pt idx="1">
                  <c:v>9832.90668244073</c:v>
                </c:pt>
                <c:pt idx="2">
                  <c:v>9177.83028822554</c:v>
                </c:pt>
                <c:pt idx="3">
                  <c:v>8917.82358088166</c:v>
                </c:pt>
                <c:pt idx="4">
                  <c:v>8361.11718081349</c:v>
                </c:pt>
                <c:pt idx="5">
                  <c:v>7688.16429681725</c:v>
                </c:pt>
              </c:numCache>
            </c:numRef>
          </c:val>
          <c:smooth val="0"/>
        </c:ser>
        <c:ser>
          <c:idx val="3"/>
          <c:order val="3"/>
          <c:tx>
            <c:strRef>
              <c:f>'T. PAES'!$A$25</c:f>
              <c:strCache>
                <c:ptCount val="1"/>
                <c:pt idx="0">
                  <c:v>Gasoil</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PAES'!$B$25:$G$25</c:f>
              <c:numCache>
                <c:formatCode>General</c:formatCode>
                <c:ptCount val="6"/>
                <c:pt idx="0">
                  <c:v>100177.851280179</c:v>
                </c:pt>
                <c:pt idx="1">
                  <c:v>113128.276610513</c:v>
                </c:pt>
                <c:pt idx="2">
                  <c:v>122657.72356414</c:v>
                </c:pt>
                <c:pt idx="3">
                  <c:v>114807.441533116</c:v>
                </c:pt>
                <c:pt idx="4">
                  <c:v>107717.016298789</c:v>
                </c:pt>
                <c:pt idx="5">
                  <c:v>96416.0551424335</c:v>
                </c:pt>
              </c:numCache>
            </c:numRef>
          </c:val>
          <c:smooth val="0"/>
        </c:ser>
        <c:ser>
          <c:idx val="4"/>
          <c:order val="4"/>
          <c:tx>
            <c:strRef>
              <c:f>'T. PAES'!$A$26</c:f>
              <c:strCache>
                <c:ptCount val="1"/>
                <c:pt idx="0">
                  <c:v>Gasolina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PAES'!$B$26:$G$26</c:f>
              <c:numCache>
                <c:formatCode>General</c:formatCode>
                <c:ptCount val="6"/>
                <c:pt idx="0">
                  <c:v>34836.8314454196</c:v>
                </c:pt>
                <c:pt idx="1">
                  <c:v>35409.5394101154</c:v>
                </c:pt>
                <c:pt idx="2">
                  <c:v>35196.5507080797</c:v>
                </c:pt>
                <c:pt idx="3">
                  <c:v>33553.6409992852</c:v>
                </c:pt>
                <c:pt idx="4">
                  <c:v>31985.7961396805</c:v>
                </c:pt>
                <c:pt idx="5">
                  <c:v>30823.9985122559</c:v>
                </c:pt>
              </c:numCache>
            </c:numRef>
          </c:val>
          <c:smooth val="0"/>
        </c:ser>
        <c:ser>
          <c:idx val="5"/>
          <c:order val="5"/>
          <c:tx>
            <c:strRef>
              <c:f>'T. PAES'!$A$27</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PAES'!$B$27:$G$27</c:f>
              <c:numCache>
                <c:formatCode>General</c:formatCode>
                <c:ptCount val="6"/>
                <c:pt idx="0">
                  <c:v>0.29968439949787</c:v>
                </c:pt>
                <c:pt idx="1">
                  <c:v>0.2946723470723</c:v>
                </c:pt>
                <c:pt idx="2">
                  <c:v>0.316734954263055</c:v>
                </c:pt>
                <c:pt idx="3">
                  <c:v>0.359542622105368</c:v>
                </c:pt>
                <c:pt idx="4">
                  <c:v>0</c:v>
                </c:pt>
                <c:pt idx="5">
                  <c:v>0</c:v>
                </c:pt>
              </c:numCache>
            </c:numRef>
          </c:val>
          <c:smooth val="0"/>
        </c:ser>
        <c:hiLowLines>
          <c:spPr>
            <a:ln>
              <a:noFill/>
            </a:ln>
          </c:spPr>
        </c:hiLowLines>
        <c:marker val="0"/>
        <c:axId val="69268041"/>
        <c:axId val="3654605"/>
      </c:lineChart>
      <c:catAx>
        <c:axId val="69268041"/>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654605"/>
        <c:crosses val="autoZero"/>
        <c:auto val="1"/>
        <c:lblAlgn val="ctr"/>
        <c:lblOffset val="100"/>
      </c:catAx>
      <c:valAx>
        <c:axId val="3654605"/>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PAES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9268041"/>
        <c:crosses val="autoZero"/>
        <c:crossBetween val="midCat"/>
      </c:valAx>
      <c:spPr>
        <a:solidFill>
          <a:srgbClr val="ffffff"/>
        </a:solidFill>
        <a:ln>
          <a:noFill/>
        </a:ln>
      </c:spPr>
    </c:plotArea>
    <c:legend>
      <c:layout>
        <c:manualLayout>
          <c:xMode val="edge"/>
          <c:yMode val="edge"/>
          <c:x val="0.8069403714565"/>
          <c:y val="0.130742049469965"/>
        </c:manualLayout>
      </c:layout>
      <c:spPr>
        <a:noFill/>
        <a:ln>
          <a:noFill/>
        </a:ln>
      </c:spPr>
    </c:legend>
    <c:plotVisOnly val="1"/>
    <c:dispBlanksAs val="gap"/>
  </c:chart>
  <c:spPr>
    <a:solidFill>
      <a:srgbClr val="ffffff"/>
    </a:solidFill>
    <a:ln>
      <a:noFill/>
    </a:ln>
  </c:spPr>
</c:chartSpace>
</file>

<file path=xl/charts/chart5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0553926360378"/>
          <c:y val="0.0665232754647411"/>
          <c:w val="0.582763115021179"/>
          <c:h val="0.755569211860501"/>
        </c:manualLayout>
      </c:layout>
      <c:lineChart>
        <c:grouping val="standard"/>
        <c:ser>
          <c:idx val="0"/>
          <c:order val="0"/>
          <c:tx>
            <c:strRef>
              <c:f>'T. PAES'!$A$37</c:f>
              <c:strCache>
                <c:ptCount val="1"/>
                <c:pt idx="0">
                  <c:v>EE</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PAES'!$B$37:$G$37</c:f>
              <c:numCache>
                <c:formatCode>General</c:formatCode>
                <c:ptCount val="6"/>
                <c:pt idx="0">
                  <c:v>61471.4548355284</c:v>
                </c:pt>
                <c:pt idx="1">
                  <c:v>68533.7254366151</c:v>
                </c:pt>
                <c:pt idx="2">
                  <c:v>63217.3843373664</c:v>
                </c:pt>
                <c:pt idx="3">
                  <c:v>63552.0903173024</c:v>
                </c:pt>
                <c:pt idx="4">
                  <c:v>65254.5976912725</c:v>
                </c:pt>
                <c:pt idx="5">
                  <c:v>66858.8104937447</c:v>
                </c:pt>
              </c:numCache>
            </c:numRef>
          </c:val>
          <c:smooth val="0"/>
        </c:ser>
        <c:ser>
          <c:idx val="1"/>
          <c:order val="1"/>
          <c:tx>
            <c:strRef>
              <c:f>'T. PAES'!$A$38</c:f>
              <c:strCache>
                <c:ptCount val="1"/>
                <c:pt idx="0">
                  <c:v/>
                </c:pt>
              </c:strCache>
            </c:strRef>
          </c:tx>
          <c:spPr>
            <a:solidFill>
              <a:srgbClr val="be4b48"/>
            </a:solidFill>
            <a:ln w="28440">
              <a:solidFill>
                <a:srgbClr val="be4b48"/>
              </a:solidFill>
              <a:round/>
            </a:ln>
          </c:spPr>
          <c:marker>
            <c:symbol val="none"/>
          </c:marker>
          <c:cat>
            <c:strRef>
              <c:f>'T. PAES'!$B$36:$G$36</c:f>
              <c:strCache>
                <c:ptCount val="6"/>
                <c:pt idx="0">
                  <c:v>2005</c:v>
                </c:pt>
                <c:pt idx="1">
                  <c:v>2006</c:v>
                </c:pt>
                <c:pt idx="2">
                  <c:v>2007</c:v>
                </c:pt>
                <c:pt idx="3">
                  <c:v>2008</c:v>
                </c:pt>
                <c:pt idx="4">
                  <c:v>2009</c:v>
                </c:pt>
                <c:pt idx="5">
                  <c:v>2010</c:v>
                </c:pt>
              </c:strCache>
            </c:strRef>
          </c:cat>
          <c:val>
            <c:numRef>
              <c:f>'T. PAES'!$B$38:$G$38</c:f>
              <c:numCache>
                <c:formatCode>General</c:formatCode>
                <c:ptCount val="0"/>
              </c:numCache>
            </c:numRef>
          </c:val>
          <c:smooth val="0"/>
        </c:ser>
        <c:ser>
          <c:idx val="2"/>
          <c:order val="2"/>
          <c:tx>
            <c:strRef>
              <c:f>'T. PAES'!$A$39</c:f>
              <c:strCache>
                <c:ptCount val="1"/>
                <c:pt idx="0">
                  <c:v>GLP</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PAES'!$B$39:$G$39</c:f>
              <c:numCache>
                <c:formatCode>General</c:formatCode>
                <c:ptCount val="6"/>
                <c:pt idx="0">
                  <c:v>2782.55871079912</c:v>
                </c:pt>
                <c:pt idx="1">
                  <c:v>2625.38608421167</c:v>
                </c:pt>
                <c:pt idx="2">
                  <c:v>2450.48068695622</c:v>
                </c:pt>
                <c:pt idx="3">
                  <c:v>2381.0588960954</c:v>
                </c:pt>
                <c:pt idx="4">
                  <c:v>2232.4182872772</c:v>
                </c:pt>
                <c:pt idx="5">
                  <c:v>2052.73986725021</c:v>
                </c:pt>
              </c:numCache>
            </c:numRef>
          </c:val>
          <c:smooth val="0"/>
        </c:ser>
        <c:ser>
          <c:idx val="3"/>
          <c:order val="3"/>
          <c:tx>
            <c:strRef>
              <c:f>'T. PAES'!$A$40</c:f>
              <c:strCache>
                <c:ptCount val="1"/>
                <c:pt idx="0">
                  <c:v>Gasoil</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PAES'!$B$40:$G$40</c:f>
              <c:numCache>
                <c:formatCode>General</c:formatCode>
                <c:ptCount val="6"/>
                <c:pt idx="0">
                  <c:v>26747.4862918079</c:v>
                </c:pt>
                <c:pt idx="1">
                  <c:v>30205.249855007</c:v>
                </c:pt>
                <c:pt idx="2">
                  <c:v>32749.6121916254</c:v>
                </c:pt>
                <c:pt idx="3">
                  <c:v>30653.586889342</c:v>
                </c:pt>
                <c:pt idx="4">
                  <c:v>28760.4433517767</c:v>
                </c:pt>
                <c:pt idx="5">
                  <c:v>25743.0867230297</c:v>
                </c:pt>
              </c:numCache>
            </c:numRef>
          </c:val>
          <c:smooth val="0"/>
        </c:ser>
        <c:ser>
          <c:idx val="4"/>
          <c:order val="4"/>
          <c:tx>
            <c:strRef>
              <c:f>'T. PAES'!$A$41</c:f>
              <c:strCache>
                <c:ptCount val="1"/>
                <c:pt idx="0">
                  <c:v>Gasolina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PAES'!$B$41:$G$41</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mooth val="0"/>
        </c:ser>
        <c:ser>
          <c:idx val="5"/>
          <c:order val="5"/>
          <c:tx>
            <c:strRef>
              <c:f>'T. PAES'!$A$42</c:f>
              <c:strCache>
                <c:ptCount val="1"/>
                <c:pt idx="0">
                  <c:v>Fueloil</c:v>
                </c:pt>
              </c:strCache>
            </c:strRef>
          </c:tx>
          <c:spPr>
            <a:solidFill>
              <a:srgbClr val="f59240"/>
            </a:solidFill>
            <a:ln w="28440">
              <a:solidFill>
                <a:srgbClr val="f59240"/>
              </a:solidFill>
              <a:round/>
            </a:ln>
          </c:spPr>
          <c:marker>
            <c:symbol val="none"/>
          </c:marker>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PAES'!$B$42:$G$42</c:f>
              <c:numCache>
                <c:formatCode>General</c:formatCode>
                <c:ptCount val="6"/>
                <c:pt idx="0">
                  <c:v>0.0836119474599058</c:v>
                </c:pt>
                <c:pt idx="1">
                  <c:v>0.0822135848331716</c:v>
                </c:pt>
                <c:pt idx="2">
                  <c:v>0.0883690522393922</c:v>
                </c:pt>
                <c:pt idx="3">
                  <c:v>0.100312391567398</c:v>
                </c:pt>
                <c:pt idx="4">
                  <c:v>0</c:v>
                </c:pt>
                <c:pt idx="5">
                  <c:v>0</c:v>
                </c:pt>
              </c:numCache>
            </c:numRef>
          </c:val>
          <c:smooth val="0"/>
        </c:ser>
        <c:hiLowLines>
          <c:spPr>
            <a:ln>
              <a:noFill/>
            </a:ln>
          </c:spPr>
        </c:hiLowLines>
        <c:marker val="0"/>
        <c:axId val="45857227"/>
        <c:axId val="75266096"/>
      </c:lineChart>
      <c:catAx>
        <c:axId val="45857227"/>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5266096"/>
        <c:crosses val="autoZero"/>
        <c:auto val="1"/>
        <c:lblAlgn val="ctr"/>
        <c:lblOffset val="100"/>
      </c:catAx>
      <c:valAx>
        <c:axId val="7526609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PAES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5857227"/>
        <c:crosses val="autoZero"/>
        <c:crossBetween val="midCat"/>
      </c:valAx>
      <c:spPr>
        <a:solidFill>
          <a:srgbClr val="ffffff"/>
        </a:solidFill>
        <a:ln>
          <a:noFill/>
        </a:ln>
      </c:spPr>
    </c:plotArea>
    <c:legend>
      <c:layout>
        <c:manualLayout>
          <c:xMode val="edge"/>
          <c:yMode val="edge"/>
          <c:x val="0.802460084718149"/>
          <c:y val="0.152097096328161"/>
        </c:manualLayout>
      </c:layout>
      <c:spPr>
        <a:noFill/>
        <a:ln>
          <a:noFill/>
        </a:ln>
      </c:spPr>
    </c:legend>
    <c:plotVisOnly val="1"/>
    <c:dispBlanksAs val="gap"/>
  </c:chart>
  <c:spPr>
    <a:solidFill>
      <a:srgbClr val="ffffff"/>
    </a:solidFill>
    <a:ln>
      <a:noFill/>
    </a:ln>
  </c:spPr>
</c:chartSpace>
</file>

<file path=xl/charts/chart54.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tx>
            <c:strRef>
              <c:f>'T. PAES'!$A$53</c:f>
              <c:strCache>
                <c:ptCount val="1"/>
                <c:pt idx="0">
                  <c:v>Serveis</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PAES'!$B$53:$G$53</c:f>
              <c:numCache>
                <c:formatCode>General</c:formatCode>
                <c:ptCount val="6"/>
                <c:pt idx="0">
                  <c:v>53048.5724228357</c:v>
                </c:pt>
                <c:pt idx="1">
                  <c:v>58521.2334756521</c:v>
                </c:pt>
                <c:pt idx="2">
                  <c:v>60631.2329149267</c:v>
                </c:pt>
                <c:pt idx="3">
                  <c:v>55664.131999549</c:v>
                </c:pt>
                <c:pt idx="4">
                  <c:v>54258.8961833933</c:v>
                </c:pt>
                <c:pt idx="5">
                  <c:v>48642.070491704</c:v>
                </c:pt>
              </c:numCache>
            </c:numRef>
          </c:val>
          <c:smooth val="0"/>
        </c:ser>
        <c:ser>
          <c:idx val="1"/>
          <c:order val="1"/>
          <c:tx>
            <c:strRef>
              <c:f>'T. PAES'!$A$54</c:f>
              <c:strCache>
                <c:ptCount val="1"/>
                <c:pt idx="0">
                  <c:v>Domèstic</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PAES'!$B$54:$G$54</c:f>
              <c:numCache>
                <c:formatCode>General</c:formatCode>
                <c:ptCount val="6"/>
                <c:pt idx="0">
                  <c:v>72157.5889450002</c:v>
                </c:pt>
                <c:pt idx="1">
                  <c:v>77244.8108713911</c:v>
                </c:pt>
                <c:pt idx="2">
                  <c:v>81155.7216523405</c:v>
                </c:pt>
                <c:pt idx="3">
                  <c:v>77810.8814395767</c:v>
                </c:pt>
                <c:pt idx="4">
                  <c:v>74107.3940507986</c:v>
                </c:pt>
                <c:pt idx="5">
                  <c:v>73595.575928495</c:v>
                </c:pt>
              </c:numCache>
            </c:numRef>
          </c:val>
          <c:smooth val="0"/>
        </c:ser>
        <c:ser>
          <c:idx val="2"/>
          <c:order val="2"/>
          <c:tx>
            <c:strRef>
              <c:f>'T. PAES'!$A$55</c:f>
              <c:strCache>
                <c:ptCount val="1"/>
                <c:pt idx="0">
                  <c:v>Transport</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PAES'!$B$55:$G$55</c:f>
              <c:numCache>
                <c:formatCode>General</c:formatCode>
                <c:ptCount val="6"/>
                <c:pt idx="0">
                  <c:v>87085.2108593324</c:v>
                </c:pt>
                <c:pt idx="1">
                  <c:v>91373.5963198209</c:v>
                </c:pt>
                <c:pt idx="2">
                  <c:v>95465.9694602215</c:v>
                </c:pt>
                <c:pt idx="3">
                  <c:v>93525.8419992048</c:v>
                </c:pt>
                <c:pt idx="4">
                  <c:v>89315.9404665966</c:v>
                </c:pt>
                <c:pt idx="5">
                  <c:v>86964.2769444402</c:v>
                </c:pt>
              </c:numCache>
            </c:numRef>
          </c:val>
          <c:smooth val="0"/>
        </c:ser>
        <c:ser>
          <c:idx val="3"/>
          <c:order val="3"/>
          <c:tx>
            <c:strRef>
              <c:f>'T. PAES'!$A$56</c:f>
              <c:strCache>
                <c:ptCount val="1"/>
                <c:pt idx="0">
                  <c:v>Aigua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PAES'!$B$56:$G$56</c:f>
              <c:numCache>
                <c:formatCode>General</c:formatCode>
                <c:ptCount val="6"/>
                <c:pt idx="0">
                  <c:v>5995.91889</c:v>
                </c:pt>
                <c:pt idx="1">
                  <c:v>6675.81246</c:v>
                </c:pt>
                <c:pt idx="2">
                  <c:v>6770.58768</c:v>
                </c:pt>
                <c:pt idx="3">
                  <c:v>7106.3724</c:v>
                </c:pt>
                <c:pt idx="4">
                  <c:v>7323.80208</c:v>
                </c:pt>
                <c:pt idx="5">
                  <c:v>4559.93507</c:v>
                </c:pt>
              </c:numCache>
            </c:numRef>
          </c:val>
          <c:smooth val="0"/>
        </c:ser>
        <c:hiLowLines>
          <c:spPr>
            <a:ln>
              <a:noFill/>
            </a:ln>
          </c:spPr>
        </c:hiLowLines>
        <c:marker val="0"/>
        <c:axId val="48651001"/>
        <c:axId val="12349100"/>
      </c:lineChart>
      <c:catAx>
        <c:axId val="48651001"/>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2349100"/>
        <c:crosses val="autoZero"/>
        <c:auto val="1"/>
        <c:lblAlgn val="ctr"/>
        <c:lblOffset val="100"/>
      </c:catAx>
      <c:valAx>
        <c:axId val="12349100"/>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PAES</a:t>
                </a:r>
              </a:p>
            </c:rich>
          </c:tx>
          <c:layout>
            <c:manualLayout>
              <c:xMode val="edge"/>
              <c:yMode val="edge"/>
              <c:x val="0.0401596611274031"/>
              <c:y val="0.261361897475134"/>
            </c:manualLayout>
          </c:layout>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8651001"/>
        <c:crosses val="autoZero"/>
        <c:crossBetween val="midCat"/>
      </c:valAx>
      <c:spPr>
        <a:solidFill>
          <a:srgbClr val="ffffff"/>
        </a:solidFill>
        <a:ln>
          <a:noFill/>
        </a:ln>
      </c:spPr>
    </c:plotArea>
    <c:legend>
      <c:layout>
        <c:manualLayout>
          <c:xMode val="edge"/>
          <c:yMode val="edge"/>
          <c:x val="0.790241120886282"/>
          <c:y val="0.218974751338944"/>
        </c:manualLayout>
      </c:layout>
      <c:spPr>
        <a:noFill/>
        <a:ln>
          <a:noFill/>
        </a:ln>
      </c:spPr>
    </c:legend>
    <c:plotVisOnly val="1"/>
    <c:dispBlanksAs val="gap"/>
  </c:chart>
  <c:spPr>
    <a:solidFill>
      <a:srgbClr val="ffffff"/>
    </a:solidFill>
    <a:ln>
      <a:noFill/>
    </a:ln>
  </c:spPr>
</c:chartSpace>
</file>

<file path=xl/charts/chart5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97865754317367"/>
          <c:y val="0.0679418515684774"/>
          <c:w val="0.529732811990877"/>
          <c:h val="0.751032899770467"/>
        </c:manualLayout>
      </c:layout>
      <c:lineChart>
        <c:grouping val="standard"/>
        <c:ser>
          <c:idx val="0"/>
          <c:order val="0"/>
          <c:tx>
            <c:strRef>
              <c:f>'T. PAES'!$A$66</c:f>
              <c:strCache>
                <c:ptCount val="1"/>
                <c:pt idx="0">
                  <c:v>Serveis</c:v>
                </c:pt>
              </c:strCache>
            </c:strRef>
          </c:tx>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PAES'!$B$66:$G$66</c:f>
              <c:numCache>
                <c:formatCode>General</c:formatCode>
                <c:ptCount val="6"/>
                <c:pt idx="0">
                  <c:v>27448.431240471</c:v>
                </c:pt>
                <c:pt idx="1">
                  <c:v>30885.8345728018</c:v>
                </c:pt>
                <c:pt idx="2">
                  <c:v>28963.6674236554</c:v>
                </c:pt>
                <c:pt idx="3">
                  <c:v>27331.9312765058</c:v>
                </c:pt>
                <c:pt idx="4">
                  <c:v>28197.3349089287</c:v>
                </c:pt>
                <c:pt idx="5">
                  <c:v>26503.6441502563</c:v>
                </c:pt>
              </c:numCache>
            </c:numRef>
          </c:val>
          <c:smooth val="0"/>
        </c:ser>
        <c:ser>
          <c:idx val="1"/>
          <c:order val="1"/>
          <c:tx>
            <c:strRef>
              <c:f>'T. PAES'!$A$67</c:f>
              <c:strCache>
                <c:ptCount val="1"/>
                <c:pt idx="0">
                  <c:v>Domèstic</c:v>
                </c:pt>
              </c:strCache>
            </c:strRef>
          </c:tx>
          <c:spPr>
            <a:solidFill>
              <a:srgbClr val="be4b48"/>
            </a:solidFill>
            <a:ln w="28440">
              <a:solidFill>
                <a:srgbClr val="be4b48"/>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PAES'!$B$67:$G$67</c:f>
              <c:numCache>
                <c:formatCode>General</c:formatCode>
                <c:ptCount val="6"/>
                <c:pt idx="0">
                  <c:v>44543.4785467151</c:v>
                </c:pt>
                <c:pt idx="1">
                  <c:v>49471.8977830614</c:v>
                </c:pt>
                <c:pt idx="2">
                  <c:v>47802.6338104749</c:v>
                </c:pt>
                <c:pt idx="3">
                  <c:v>47363.936222367</c:v>
                </c:pt>
                <c:pt idx="4">
                  <c:v>46531.6593420632</c:v>
                </c:pt>
                <c:pt idx="5">
                  <c:v>49294.2576595082</c:v>
                </c:pt>
              </c:numCache>
            </c:numRef>
          </c:val>
          <c:smooth val="0"/>
        </c:ser>
        <c:ser>
          <c:idx val="2"/>
          <c:order val="2"/>
          <c:tx>
            <c:strRef>
              <c:f>'T. PAES'!$A$68</c:f>
              <c:strCache>
                <c:ptCount val="1"/>
                <c:pt idx="0">
                  <c:v>Transport</c:v>
                </c:pt>
              </c:strCache>
            </c:strRef>
          </c:tx>
          <c:spPr>
            <a:solidFill>
              <a:srgbClr val="98b855"/>
            </a:solidFill>
            <a:ln w="28440">
              <a:solidFill>
                <a:srgbClr val="98b855"/>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PAES'!$B$68:$G$68</c:f>
              <c:numCache>
                <c:formatCode>General</c:formatCode>
                <c:ptCount val="6"/>
                <c:pt idx="0">
                  <c:v>22624.6883334242</c:v>
                </c:pt>
                <c:pt idx="1">
                  <c:v>23759.3785080101</c:v>
                </c:pt>
                <c:pt idx="2">
                  <c:v>24855.8759331337</c:v>
                </c:pt>
                <c:pt idx="3">
                  <c:v>24367.4342758006</c:v>
                </c:pt>
                <c:pt idx="4">
                  <c:v>23271.611774067</c:v>
                </c:pt>
                <c:pt idx="5">
                  <c:v>22664.6299709449</c:v>
                </c:pt>
              </c:numCache>
            </c:numRef>
          </c:val>
          <c:smooth val="0"/>
        </c:ser>
        <c:ser>
          <c:idx val="3"/>
          <c:order val="3"/>
          <c:tx>
            <c:strRef>
              <c:f>'T. PAES'!$A$69</c:f>
              <c:strCache>
                <c:ptCount val="1"/>
                <c:pt idx="0">
                  <c:v>Residus</c:v>
                </c:pt>
              </c:strCache>
            </c:strRef>
          </c:tx>
          <c:spPr>
            <a:solidFill>
              <a:srgbClr val="7d5fa0"/>
            </a:solidFill>
            <a:ln w="28440">
              <a:solidFill>
                <a:srgbClr val="7d5fa0"/>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PAES'!$B$69:$G$69</c:f>
              <c:numCache>
                <c:formatCode>General</c:formatCode>
                <c:ptCount val="6"/>
                <c:pt idx="0">
                  <c:v>8729.33717074606</c:v>
                </c:pt>
                <c:pt idx="1">
                  <c:v>9238.7148318758</c:v>
                </c:pt>
                <c:pt idx="2">
                  <c:v>10218.822147659</c:v>
                </c:pt>
                <c:pt idx="3">
                  <c:v>8981.01779429749</c:v>
                </c:pt>
                <c:pt idx="4">
                  <c:v>8007.43090743706</c:v>
                </c:pt>
                <c:pt idx="5">
                  <c:v>8033.92078866066</c:v>
                </c:pt>
              </c:numCache>
            </c:numRef>
          </c:val>
          <c:smooth val="0"/>
        </c:ser>
        <c:ser>
          <c:idx val="4"/>
          <c:order val="4"/>
          <c:tx>
            <c:strRef>
              <c:f>'T. PAES'!$A$70</c:f>
              <c:strCache>
                <c:ptCount val="1"/>
                <c:pt idx="0">
                  <c:v>Aigua</c:v>
                </c:pt>
              </c:strCache>
            </c:strRef>
          </c:tx>
          <c:spPr>
            <a:solidFill>
              <a:srgbClr val="46aac4"/>
            </a:solidFill>
            <a:ln w="28440">
              <a:solidFill>
                <a:srgbClr val="46aac4"/>
              </a:solidFill>
              <a:round/>
            </a:ln>
          </c:spPr>
          <c:marker>
            <c:symbol val="none"/>
          </c:marker>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PAES'!$B$70:$G$70</c:f>
              <c:numCache>
                <c:formatCode>General</c:formatCode>
                <c:ptCount val="6"/>
                <c:pt idx="0">
                  <c:v>5059.356359382</c:v>
                </c:pt>
                <c:pt idx="1">
                  <c:v>6064.308038664</c:v>
                </c:pt>
                <c:pt idx="2">
                  <c:v>5559.329544048</c:v>
                </c:pt>
                <c:pt idx="3">
                  <c:v>5878.39124928</c:v>
                </c:pt>
                <c:pt idx="4">
                  <c:v>6211.316544048</c:v>
                </c:pt>
                <c:pt idx="5">
                  <c:v>3867.280932867</c:v>
                </c:pt>
              </c:numCache>
            </c:numRef>
          </c:val>
          <c:smooth val="0"/>
        </c:ser>
        <c:hiLowLines>
          <c:spPr>
            <a:ln>
              <a:noFill/>
            </a:ln>
          </c:spPr>
        </c:hiLowLines>
        <c:marker val="0"/>
        <c:axId val="12102150"/>
        <c:axId val="97457842"/>
      </c:lineChart>
      <c:catAx>
        <c:axId val="12102150"/>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7457842"/>
        <c:crosses val="autoZero"/>
        <c:auto val="1"/>
        <c:lblAlgn val="ctr"/>
        <c:lblOffset val="100"/>
      </c:catAx>
      <c:valAx>
        <c:axId val="9745784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PAES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2102150"/>
        <c:crosses val="autoZero"/>
        <c:crossBetween val="midCat"/>
      </c:valAx>
      <c:spPr>
        <a:solidFill>
          <a:srgbClr val="ffffff"/>
        </a:solidFill>
        <a:ln>
          <a:noFill/>
        </a:ln>
      </c:spPr>
    </c:plotArea>
    <c:legend>
      <c:layout>
        <c:manualLayout>
          <c:xMode val="edge"/>
          <c:yMode val="edge"/>
          <c:x val="0.693629846855653"/>
          <c:y val="0.0994644223412395"/>
        </c:manualLayout>
      </c:layout>
      <c:spPr>
        <a:noFill/>
        <a:ln>
          <a:noFill/>
        </a:ln>
      </c:spPr>
    </c:legend>
    <c:plotVisOnly val="1"/>
    <c:dispBlanksAs val="gap"/>
  </c:chart>
  <c:spPr>
    <a:solidFill>
      <a:srgbClr val="ffffff"/>
    </a:solidFill>
    <a:ln>
      <a:noFill/>
    </a:ln>
  </c:spPr>
</c:chartSpace>
</file>

<file path=xl/charts/chart56.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PAES'!$A$100</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PAES'!$B$95:$G$95</c:f>
              <c:strCache>
                <c:ptCount val="6"/>
                <c:pt idx="0">
                  <c:v>2005</c:v>
                </c:pt>
                <c:pt idx="1">
                  <c:v>2006</c:v>
                </c:pt>
                <c:pt idx="2">
                  <c:v>2007</c:v>
                </c:pt>
                <c:pt idx="3">
                  <c:v>2008</c:v>
                </c:pt>
                <c:pt idx="4">
                  <c:v>2009</c:v>
                </c:pt>
                <c:pt idx="5">
                  <c:v>2010</c:v>
                </c:pt>
              </c:strCache>
            </c:strRef>
          </c:cat>
          <c:val>
            <c:numRef>
              <c:f>'T. PAES'!$B$100:$G$100</c:f>
              <c:numCache>
                <c:formatCode>General</c:formatCode>
                <c:ptCount val="6"/>
                <c:pt idx="0">
                  <c:v>0.29968439949787</c:v>
                </c:pt>
                <c:pt idx="1">
                  <c:v>0.2946723470723</c:v>
                </c:pt>
                <c:pt idx="2">
                  <c:v>0.316734954263055</c:v>
                </c:pt>
                <c:pt idx="3">
                  <c:v>0.359542622105368</c:v>
                </c:pt>
                <c:pt idx="4">
                  <c:v>0</c:v>
                </c:pt>
                <c:pt idx="5">
                  <c:v>0</c:v>
                </c:pt>
              </c:numCache>
            </c:numRef>
          </c:val>
        </c:ser>
        <c:ser>
          <c:idx val="1"/>
          <c:order val="1"/>
          <c:tx>
            <c:strRef>
              <c:f>'T. PAES'!$A$99</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PAES'!$B$95:$G$95</c:f>
              <c:strCache>
                <c:ptCount val="6"/>
                <c:pt idx="0">
                  <c:v>2005</c:v>
                </c:pt>
                <c:pt idx="1">
                  <c:v>2006</c:v>
                </c:pt>
                <c:pt idx="2">
                  <c:v>2007</c:v>
                </c:pt>
                <c:pt idx="3">
                  <c:v>2008</c:v>
                </c:pt>
                <c:pt idx="4">
                  <c:v>2009</c:v>
                </c:pt>
                <c:pt idx="5">
                  <c:v>2010</c:v>
                </c:pt>
              </c:strCache>
            </c:strRef>
          </c:cat>
          <c:val>
            <c:numRef>
              <c:f>'T. PAES'!$B$99:$G$99</c:f>
              <c:numCache>
                <c:formatCode>General</c:formatCode>
                <c:ptCount val="6"/>
                <c:pt idx="0">
                  <c:v>26792.2454993796</c:v>
                </c:pt>
                <c:pt idx="1">
                  <c:v>31501.4887778833</c:v>
                </c:pt>
                <c:pt idx="2">
                  <c:v>34236.7901808623</c:v>
                </c:pt>
                <c:pt idx="3">
                  <c:v>30169.6535348451</c:v>
                </c:pt>
                <c:pt idx="4">
                  <c:v>27592.5706884618</c:v>
                </c:pt>
                <c:pt idx="5">
                  <c:v>22232.7371680877</c:v>
                </c:pt>
              </c:numCache>
            </c:numRef>
          </c:val>
        </c:ser>
        <c:ser>
          <c:idx val="2"/>
          <c:order val="2"/>
          <c:tx>
            <c:strRef>
              <c:f>'T. PAES'!$A$98</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PAES'!$B$95:$G$95</c:f>
              <c:strCache>
                <c:ptCount val="6"/>
                <c:pt idx="0">
                  <c:v>2005</c:v>
                </c:pt>
                <c:pt idx="1">
                  <c:v>2006</c:v>
                </c:pt>
                <c:pt idx="2">
                  <c:v>2007</c:v>
                </c:pt>
                <c:pt idx="3">
                  <c:v>2008</c:v>
                </c:pt>
                <c:pt idx="4">
                  <c:v>2009</c:v>
                </c:pt>
                <c:pt idx="5">
                  <c:v>2010</c:v>
                </c:pt>
              </c:strCache>
            </c:strRef>
          </c:cat>
          <c:val>
            <c:numRef>
              <c:f>'T. PAES'!$B$98:$G$98</c:f>
              <c:numCache>
                <c:formatCode>General</c:formatCode>
                <c:ptCount val="6"/>
                <c:pt idx="0">
                  <c:v>3224.71862712682</c:v>
                </c:pt>
                <c:pt idx="1">
                  <c:v>3226.7127339741</c:v>
                </c:pt>
                <c:pt idx="2">
                  <c:v>3338.49626702106</c:v>
                </c:pt>
                <c:pt idx="3">
                  <c:v>3234.91913965631</c:v>
                </c:pt>
                <c:pt idx="4">
                  <c:v>3072.77941342631</c:v>
                </c:pt>
                <c:pt idx="5">
                  <c:v>3149.63391048378</c:v>
                </c:pt>
              </c:numCache>
            </c:numRef>
          </c:val>
        </c:ser>
        <c:ser>
          <c:idx val="3"/>
          <c:order val="3"/>
          <c:tx>
            <c:strRef>
              <c:f>'T. PAES'!$A$97</c:f>
              <c:strCache>
                <c:ptCount val="1"/>
                <c:pt idx="0">
                  <c:v/>
                </c:pt>
              </c:strCache>
            </c:strRef>
          </c:tx>
          <c:spPr>
            <a:solidFill>
              <a:srgbClr val="9bbb59"/>
            </a:solidFill>
            <a:ln>
              <a:noFill/>
            </a:ln>
          </c:spPr>
          <c:invertIfNegative val="0"/>
          <c:cat>
            <c:strRef>
              <c:f>'T. PAES'!$B$95:$G$95</c:f>
              <c:strCache>
                <c:ptCount val="6"/>
                <c:pt idx="0">
                  <c:v>2005</c:v>
                </c:pt>
                <c:pt idx="1">
                  <c:v>2006</c:v>
                </c:pt>
                <c:pt idx="2">
                  <c:v>2007</c:v>
                </c:pt>
                <c:pt idx="3">
                  <c:v>2008</c:v>
                </c:pt>
                <c:pt idx="4">
                  <c:v>2009</c:v>
                </c:pt>
                <c:pt idx="5">
                  <c:v>2010</c:v>
                </c:pt>
              </c:strCache>
            </c:strRef>
          </c:cat>
          <c:val>
            <c:numRef>
              <c:f>'T. PAES'!$B$97:$G$97</c:f>
              <c:numCache>
                <c:formatCode>General</c:formatCode>
                <c:ptCount val="0"/>
              </c:numCache>
            </c:numRef>
          </c:val>
        </c:ser>
        <c:ser>
          <c:idx val="4"/>
          <c:order val="4"/>
          <c:tx>
            <c:strRef>
              <c:f>'T. PAES'!$A$96</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PAES'!$B$95:$G$95</c:f>
              <c:strCache>
                <c:ptCount val="6"/>
                <c:pt idx="0">
                  <c:v>2005</c:v>
                </c:pt>
                <c:pt idx="1">
                  <c:v>2006</c:v>
                </c:pt>
                <c:pt idx="2">
                  <c:v>2007</c:v>
                </c:pt>
                <c:pt idx="3">
                  <c:v>2008</c:v>
                </c:pt>
                <c:pt idx="4">
                  <c:v>2009</c:v>
                </c:pt>
                <c:pt idx="5">
                  <c:v>2010</c:v>
                </c:pt>
              </c:strCache>
            </c:strRef>
          </c:cat>
          <c:val>
            <c:numRef>
              <c:f>'T. PAES'!$B$96:$G$96</c:f>
              <c:numCache>
                <c:formatCode>General</c:formatCode>
                <c:ptCount val="6"/>
                <c:pt idx="0">
                  <c:v>23031.3086119298</c:v>
                </c:pt>
                <c:pt idx="1">
                  <c:v>23792.7372914477</c:v>
                </c:pt>
                <c:pt idx="2">
                  <c:v>23055.6297320891</c:v>
                </c:pt>
                <c:pt idx="3">
                  <c:v>22259.1997824255</c:v>
                </c:pt>
                <c:pt idx="4">
                  <c:v>23593.5460815052</c:v>
                </c:pt>
                <c:pt idx="5">
                  <c:v>23259.6994131326</c:v>
                </c:pt>
              </c:numCache>
            </c:numRef>
          </c:val>
        </c:ser>
        <c:gapWidth val="150"/>
        <c:overlap val="100"/>
        <c:axId val="36392973"/>
        <c:axId val="1589949"/>
      </c:barChart>
      <c:catAx>
        <c:axId val="36392973"/>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589949"/>
        <c:crosses val="autoZero"/>
        <c:auto val="1"/>
        <c:lblAlgn val="ctr"/>
        <c:lblOffset val="100"/>
      </c:catAx>
      <c:valAx>
        <c:axId val="158994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serveis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6392973"/>
        <c:crosses val="autoZero"/>
        <c:crossBetween val="midCat"/>
      </c:valAx>
      <c:spPr>
        <a:solidFill>
          <a:srgbClr val="ffffff"/>
        </a:solidFill>
        <a:ln>
          <a:noFill/>
        </a:ln>
      </c:spPr>
    </c:plotArea>
    <c:legend>
      <c:layout>
        <c:manualLayout>
          <c:xMode val="edge"/>
          <c:yMode val="edge"/>
          <c:x val="0.86878565607172"/>
          <c:y val="0.32794190460472"/>
        </c:manualLayout>
      </c:layout>
      <c:spPr>
        <a:noFill/>
        <a:ln>
          <a:noFill/>
        </a:ln>
      </c:spPr>
    </c:legend>
    <c:plotVisOnly val="1"/>
    <c:dispBlanksAs val="gap"/>
  </c:chart>
  <c:spPr>
    <a:solidFill>
      <a:srgbClr val="ffffff"/>
    </a:solidFill>
    <a:ln>
      <a:noFill/>
    </a:ln>
  </c:spPr>
</c:chartSpace>
</file>

<file path=xl/charts/chart57.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PAES'!$A$289</c:f>
              <c:strCache>
                <c:ptCount val="1"/>
                <c:pt idx="0">
                  <c:v>EDAR</c:v>
                </c:pt>
              </c:strCache>
            </c:strRef>
          </c:tx>
          <c:spPr>
            <a:solidFill>
              <a:srgbClr val="9bbb59"/>
            </a:solidFill>
            <a:ln>
              <a:noFill/>
            </a:ln>
          </c:spPr>
          <c:invertIfNegative val="0"/>
          <c:dLbls>
            <c:showLegendKey val="0"/>
            <c:showVal val="0"/>
            <c:showCatName val="0"/>
            <c:showSerName val="0"/>
            <c:showPercent val="0"/>
            <c:showLeaderLines val="0"/>
          </c:dLbls>
          <c:cat>
            <c:strRef>
              <c:f>'T. PAES'!$B$287:$G$287</c:f>
              <c:strCache>
                <c:ptCount val="6"/>
                <c:pt idx="0">
                  <c:v>2005</c:v>
                </c:pt>
                <c:pt idx="1">
                  <c:v>2006</c:v>
                </c:pt>
                <c:pt idx="2">
                  <c:v>2007</c:v>
                </c:pt>
                <c:pt idx="3">
                  <c:v>2008</c:v>
                </c:pt>
                <c:pt idx="4">
                  <c:v>2009</c:v>
                </c:pt>
                <c:pt idx="5">
                  <c:v>2010</c:v>
                </c:pt>
              </c:strCache>
            </c:strRef>
          </c:cat>
          <c:val>
            <c:numRef>
              <c:f>'T. PAES'!$B$289:$G$289</c:f>
              <c:numCache>
                <c:formatCode>General</c:formatCode>
                <c:ptCount val="6"/>
                <c:pt idx="0">
                  <c:v>307.670355612</c:v>
                </c:pt>
                <c:pt idx="1">
                  <c:v>357.414830856</c:v>
                </c:pt>
                <c:pt idx="2">
                  <c:v>322.202448162</c:v>
                </c:pt>
                <c:pt idx="3">
                  <c:v>341.30983392</c:v>
                </c:pt>
                <c:pt idx="4">
                  <c:v>366.412174128</c:v>
                </c:pt>
                <c:pt idx="5">
                  <c:v>461.093260914</c:v>
                </c:pt>
              </c:numCache>
            </c:numRef>
          </c:val>
        </c:ser>
        <c:ser>
          <c:idx val="1"/>
          <c:order val="1"/>
          <c:tx>
            <c:strRef>
              <c:f>'T. PAES'!$A$288</c:f>
              <c:strCache>
                <c:ptCount val="1"/>
                <c:pt idx="0">
                  <c:v>Bombeig</c:v>
                </c:pt>
              </c:strCache>
            </c:strRef>
          </c:tx>
          <c:spPr>
            <a:solidFill>
              <a:srgbClr val="c0504d"/>
            </a:solidFill>
            <a:ln>
              <a:noFill/>
            </a:ln>
          </c:spPr>
          <c:invertIfNegative val="0"/>
          <c:dLbls>
            <c:showLegendKey val="0"/>
            <c:showVal val="0"/>
            <c:showCatName val="0"/>
            <c:showSerName val="0"/>
            <c:showPercent val="0"/>
            <c:showLeaderLines val="0"/>
          </c:dLbls>
          <c:cat>
            <c:strRef>
              <c:f>'T. PAES'!$B$287:$G$287</c:f>
              <c:strCache>
                <c:ptCount val="6"/>
                <c:pt idx="0">
                  <c:v>2005</c:v>
                </c:pt>
                <c:pt idx="1">
                  <c:v>2006</c:v>
                </c:pt>
                <c:pt idx="2">
                  <c:v>2007</c:v>
                </c:pt>
                <c:pt idx="3">
                  <c:v>2008</c:v>
                </c:pt>
                <c:pt idx="4">
                  <c:v>2009</c:v>
                </c:pt>
                <c:pt idx="5">
                  <c:v>2010</c:v>
                </c:pt>
              </c:strCache>
            </c:strRef>
          </c:cat>
          <c:val>
            <c:numRef>
              <c:f>'T. PAES'!$B$288:$G$288</c:f>
              <c:numCache>
                <c:formatCode>General</c:formatCode>
                <c:ptCount val="6"/>
                <c:pt idx="0">
                  <c:v>4751.68600377</c:v>
                </c:pt>
                <c:pt idx="1">
                  <c:v>5706.893207808</c:v>
                </c:pt>
                <c:pt idx="2">
                  <c:v>5237.127095886</c:v>
                </c:pt>
                <c:pt idx="3">
                  <c:v>5537.08141536</c:v>
                </c:pt>
                <c:pt idx="4">
                  <c:v>5844.90436992</c:v>
                </c:pt>
                <c:pt idx="5">
                  <c:v>3406.187671953</c:v>
                </c:pt>
              </c:numCache>
            </c:numRef>
          </c:val>
        </c:ser>
        <c:gapWidth val="150"/>
        <c:overlap val="100"/>
        <c:axId val="71236405"/>
        <c:axId val="3269527"/>
      </c:barChart>
      <c:catAx>
        <c:axId val="71236405"/>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269527"/>
        <c:crosses val="autoZero"/>
        <c:auto val="1"/>
        <c:lblAlgn val="ctr"/>
        <c:lblOffset val="100"/>
      </c:catAx>
      <c:valAx>
        <c:axId val="326952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aigua</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1236405"/>
        <c:crosses val="autoZero"/>
        <c:crossBetween val="midCat"/>
      </c:valAx>
      <c:spPr>
        <a:solidFill>
          <a:srgbClr val="ffffff"/>
        </a:solidFill>
        <a:ln>
          <a:noFill/>
        </a:ln>
      </c:spPr>
    </c:plotArea>
    <c:legend>
      <c:layout>
        <c:manualLayout>
          <c:xMode val="edge"/>
          <c:yMode val="edge"/>
          <c:x val="0.836022819885901"/>
          <c:y val="0.339825053639214"/>
        </c:manualLayout>
      </c:layout>
      <c:spPr>
        <a:noFill/>
        <a:ln>
          <a:noFill/>
        </a:ln>
      </c:spPr>
    </c:legend>
    <c:plotVisOnly val="1"/>
    <c:dispBlanksAs val="gap"/>
  </c:chart>
  <c:spPr>
    <a:solidFill>
      <a:srgbClr val="ffffff"/>
    </a:solidFill>
    <a:ln>
      <a:noFill/>
    </a:ln>
  </c:spPr>
</c:chartSpace>
</file>

<file path=xl/charts/chart58.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PAES'!$A$114</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PAES'!$B$109:$G$109</c:f>
              <c:strCache>
                <c:ptCount val="6"/>
                <c:pt idx="0">
                  <c:v>2005</c:v>
                </c:pt>
                <c:pt idx="1">
                  <c:v>2006</c:v>
                </c:pt>
                <c:pt idx="2">
                  <c:v>2007</c:v>
                </c:pt>
                <c:pt idx="3">
                  <c:v>2008</c:v>
                </c:pt>
                <c:pt idx="4">
                  <c:v>2009</c:v>
                </c:pt>
                <c:pt idx="5">
                  <c:v>2010</c:v>
                </c:pt>
              </c:strCache>
            </c:strRef>
          </c:cat>
          <c:val>
            <c:numRef>
              <c:f>'T. PAES'!$B$114:$G$114</c:f>
              <c:numCache>
                <c:formatCode>General</c:formatCode>
                <c:ptCount val="6"/>
                <c:pt idx="0">
                  <c:v>0.0836119474599058</c:v>
                </c:pt>
                <c:pt idx="1">
                  <c:v>0.0822135848331716</c:v>
                </c:pt>
                <c:pt idx="2">
                  <c:v>0.0883690522393922</c:v>
                </c:pt>
                <c:pt idx="3">
                  <c:v>0.100312391567398</c:v>
                </c:pt>
                <c:pt idx="4">
                  <c:v>0</c:v>
                </c:pt>
                <c:pt idx="5">
                  <c:v>0</c:v>
                </c:pt>
              </c:numCache>
            </c:numRef>
          </c:val>
        </c:ser>
        <c:ser>
          <c:idx val="1"/>
          <c:order val="1"/>
          <c:tx>
            <c:strRef>
              <c:f>'T. PAES'!$A$113</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PAES'!$B$109:$G$109</c:f>
              <c:strCache>
                <c:ptCount val="6"/>
                <c:pt idx="0">
                  <c:v>2005</c:v>
                </c:pt>
                <c:pt idx="1">
                  <c:v>2006</c:v>
                </c:pt>
                <c:pt idx="2">
                  <c:v>2007</c:v>
                </c:pt>
                <c:pt idx="3">
                  <c:v>2008</c:v>
                </c:pt>
                <c:pt idx="4">
                  <c:v>2009</c:v>
                </c:pt>
                <c:pt idx="5">
                  <c:v>2010</c:v>
                </c:pt>
              </c:strCache>
            </c:strRef>
          </c:cat>
          <c:val>
            <c:numRef>
              <c:f>'T. PAES'!$B$113:$G$113</c:f>
              <c:numCache>
                <c:formatCode>General</c:formatCode>
                <c:ptCount val="6"/>
                <c:pt idx="0">
                  <c:v>7153.52954833435</c:v>
                </c:pt>
                <c:pt idx="1">
                  <c:v>8410.89750369483</c:v>
                </c:pt>
                <c:pt idx="2">
                  <c:v>9141.22297829023</c:v>
                </c:pt>
                <c:pt idx="3">
                  <c:v>8055.29749380364</c:v>
                </c:pt>
                <c:pt idx="4">
                  <c:v>7367.21637381931</c:v>
                </c:pt>
                <c:pt idx="5">
                  <c:v>5936.14082387941</c:v>
                </c:pt>
              </c:numCache>
            </c:numRef>
          </c:val>
        </c:ser>
        <c:ser>
          <c:idx val="2"/>
          <c:order val="2"/>
          <c:tx>
            <c:strRef>
              <c:f>'T. PAES'!$A$112</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PAES'!$B$109:$G$109</c:f>
              <c:strCache>
                <c:ptCount val="6"/>
                <c:pt idx="0">
                  <c:v>2005</c:v>
                </c:pt>
                <c:pt idx="1">
                  <c:v>2006</c:v>
                </c:pt>
                <c:pt idx="2">
                  <c:v>2007</c:v>
                </c:pt>
                <c:pt idx="3">
                  <c:v>2008</c:v>
                </c:pt>
                <c:pt idx="4">
                  <c:v>2009</c:v>
                </c:pt>
                <c:pt idx="5">
                  <c:v>2010</c:v>
                </c:pt>
              </c:strCache>
            </c:strRef>
          </c:cat>
          <c:val>
            <c:numRef>
              <c:f>'T. PAES'!$B$112:$G$112</c:f>
              <c:numCache>
                <c:formatCode>General</c:formatCode>
                <c:ptCount val="6"/>
                <c:pt idx="0">
                  <c:v>860.999873442862</c:v>
                </c:pt>
                <c:pt idx="1">
                  <c:v>861.532299971084</c:v>
                </c:pt>
                <c:pt idx="2">
                  <c:v>891.378503294624</c:v>
                </c:pt>
                <c:pt idx="3">
                  <c:v>863.723410288235</c:v>
                </c:pt>
                <c:pt idx="4">
                  <c:v>820.432103384826</c:v>
                </c:pt>
                <c:pt idx="5">
                  <c:v>840.95225409917</c:v>
                </c:pt>
              </c:numCache>
            </c:numRef>
          </c:val>
        </c:ser>
        <c:ser>
          <c:idx val="3"/>
          <c:order val="3"/>
          <c:tx>
            <c:strRef>
              <c:f>'T. PAES'!$A$111</c:f>
              <c:strCache>
                <c:ptCount val="1"/>
                <c:pt idx="0">
                  <c:v/>
                </c:pt>
              </c:strCache>
            </c:strRef>
          </c:tx>
          <c:spPr>
            <a:solidFill>
              <a:srgbClr val="9bbb59"/>
            </a:solidFill>
            <a:ln>
              <a:noFill/>
            </a:ln>
          </c:spPr>
          <c:invertIfNegative val="0"/>
          <c:cat>
            <c:strRef>
              <c:f>'T. PAES'!$B$109:$G$109</c:f>
              <c:strCache>
                <c:ptCount val="6"/>
                <c:pt idx="0">
                  <c:v>2005</c:v>
                </c:pt>
                <c:pt idx="1">
                  <c:v>2006</c:v>
                </c:pt>
                <c:pt idx="2">
                  <c:v>2007</c:v>
                </c:pt>
                <c:pt idx="3">
                  <c:v>2008</c:v>
                </c:pt>
                <c:pt idx="4">
                  <c:v>2009</c:v>
                </c:pt>
                <c:pt idx="5">
                  <c:v>2010</c:v>
                </c:pt>
              </c:strCache>
            </c:strRef>
          </c:cat>
          <c:val>
            <c:numRef>
              <c:f>'T. PAES'!$B$111:$G$111</c:f>
              <c:numCache>
                <c:formatCode>General</c:formatCode>
                <c:ptCount val="0"/>
              </c:numCache>
            </c:numRef>
          </c:val>
        </c:ser>
        <c:ser>
          <c:idx val="4"/>
          <c:order val="4"/>
          <c:tx>
            <c:strRef>
              <c:f>'T. PAES'!$A$110</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PAES'!$B$109:$G$109</c:f>
              <c:strCache>
                <c:ptCount val="6"/>
                <c:pt idx="0">
                  <c:v>2005</c:v>
                </c:pt>
                <c:pt idx="1">
                  <c:v>2006</c:v>
                </c:pt>
                <c:pt idx="2">
                  <c:v>2007</c:v>
                </c:pt>
                <c:pt idx="3">
                  <c:v>2008</c:v>
                </c:pt>
                <c:pt idx="4">
                  <c:v>2009</c:v>
                </c:pt>
                <c:pt idx="5">
                  <c:v>2010</c:v>
                </c:pt>
              </c:strCache>
            </c:strRef>
          </c:cat>
          <c:val>
            <c:numRef>
              <c:f>'T. PAES'!$B$110:$G$110</c:f>
              <c:numCache>
                <c:formatCode>General</c:formatCode>
                <c:ptCount val="6"/>
                <c:pt idx="0">
                  <c:v>19433.8182067464</c:v>
                </c:pt>
                <c:pt idx="1">
                  <c:v>21613.3225555511</c:v>
                </c:pt>
                <c:pt idx="2">
                  <c:v>18930.9775730184</c:v>
                </c:pt>
                <c:pt idx="3">
                  <c:v>18412.8100600224</c:v>
                </c:pt>
                <c:pt idx="4">
                  <c:v>20009.6864317245</c:v>
                </c:pt>
                <c:pt idx="5">
                  <c:v>19726.5510722777</c:v>
                </c:pt>
              </c:numCache>
            </c:numRef>
          </c:val>
        </c:ser>
        <c:gapWidth val="150"/>
        <c:overlap val="100"/>
        <c:axId val="78160764"/>
        <c:axId val="5982404"/>
      </c:barChart>
      <c:catAx>
        <c:axId val="78160764"/>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982404"/>
        <c:crosses val="autoZero"/>
        <c:auto val="1"/>
        <c:lblAlgn val="ctr"/>
        <c:lblOffset val="100"/>
      </c:catAx>
      <c:valAx>
        <c:axId val="5982404"/>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serveis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8160764"/>
        <c:crosses val="autoZero"/>
        <c:crossBetween val="midCat"/>
      </c:valAx>
      <c:spPr>
        <a:solidFill>
          <a:srgbClr val="ffffff"/>
        </a:solidFill>
        <a:ln>
          <a:noFill/>
        </a:ln>
      </c:spPr>
    </c:plotArea>
    <c:legend>
      <c:layout>
        <c:manualLayout>
          <c:xMode val="edge"/>
          <c:yMode val="edge"/>
          <c:x val="0.864303178484107"/>
          <c:y val="0.297552100562355"/>
        </c:manualLayout>
      </c:layout>
      <c:spPr>
        <a:noFill/>
        <a:ln>
          <a:noFill/>
        </a:ln>
      </c:spPr>
    </c:legend>
    <c:plotVisOnly val="1"/>
    <c:dispBlanksAs val="gap"/>
  </c:chart>
  <c:spPr>
    <a:solidFill>
      <a:srgbClr val="ffffff"/>
    </a:solidFill>
    <a:ln>
      <a:noFill/>
    </a:ln>
  </c:spPr>
</c:chartSpace>
</file>

<file path=xl/charts/chart59.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PAES'!$A$127</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PAES'!$B$123:$G$123</c:f>
              <c:strCache>
                <c:ptCount val="6"/>
                <c:pt idx="0">
                  <c:v>2005</c:v>
                </c:pt>
                <c:pt idx="1">
                  <c:v>2006</c:v>
                </c:pt>
                <c:pt idx="2">
                  <c:v>2007</c:v>
                </c:pt>
                <c:pt idx="3">
                  <c:v>2008</c:v>
                </c:pt>
                <c:pt idx="4">
                  <c:v>2009</c:v>
                </c:pt>
                <c:pt idx="5">
                  <c:v>2010</c:v>
                </c:pt>
              </c:strCache>
            </c:strRef>
          </c:cat>
          <c:val>
            <c:numRef>
              <c:f>'T. PAES'!$B$127:$G$127</c:f>
              <c:numCache>
                <c:formatCode>General</c:formatCode>
                <c:ptCount val="6"/>
                <c:pt idx="0">
                  <c:v>21137.2263668869</c:v>
                </c:pt>
                <c:pt idx="1">
                  <c:v>25662.7309229245</c:v>
                </c:pt>
                <c:pt idx="2">
                  <c:v>28151.514631136</c:v>
                </c:pt>
                <c:pt idx="3">
                  <c:v>24665.5869983514</c:v>
                </c:pt>
                <c:pt idx="4">
                  <c:v>22794.3012834114</c:v>
                </c:pt>
                <c:pt idx="5">
                  <c:v>18043.0395421615</c:v>
                </c:pt>
              </c:numCache>
            </c:numRef>
          </c:val>
        </c:ser>
        <c:ser>
          <c:idx val="1"/>
          <c:order val="1"/>
          <c:tx>
            <c:strRef>
              <c:f>'T. PAES'!$A$126</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PAES'!$B$123:$G$123</c:f>
              <c:strCache>
                <c:ptCount val="6"/>
                <c:pt idx="0">
                  <c:v>2005</c:v>
                </c:pt>
                <c:pt idx="1">
                  <c:v>2006</c:v>
                </c:pt>
                <c:pt idx="2">
                  <c:v>2007</c:v>
                </c:pt>
                <c:pt idx="3">
                  <c:v>2008</c:v>
                </c:pt>
                <c:pt idx="4">
                  <c:v>2009</c:v>
                </c:pt>
                <c:pt idx="5">
                  <c:v>2010</c:v>
                </c:pt>
              </c:strCache>
            </c:strRef>
          </c:cat>
          <c:val>
            <c:numRef>
              <c:f>'T. PAES'!$B$126:$G$126</c:f>
              <c:numCache>
                <c:formatCode>General</c:formatCode>
                <c:ptCount val="6"/>
                <c:pt idx="0">
                  <c:v>7196.84957811331</c:v>
                </c:pt>
                <c:pt idx="1">
                  <c:v>6606.19394846663</c:v>
                </c:pt>
                <c:pt idx="2">
                  <c:v>5839.33402120448</c:v>
                </c:pt>
                <c:pt idx="3">
                  <c:v>5682.90444122535</c:v>
                </c:pt>
                <c:pt idx="4">
                  <c:v>5288.33776738717</c:v>
                </c:pt>
                <c:pt idx="5">
                  <c:v>4538.53038633347</c:v>
                </c:pt>
              </c:numCache>
            </c:numRef>
          </c:val>
        </c:ser>
        <c:ser>
          <c:idx val="2"/>
          <c:order val="2"/>
          <c:tx>
            <c:strRef>
              <c:f>'T. PAES'!$A$125</c:f>
              <c:strCache>
                <c:ptCount val="1"/>
                <c:pt idx="0">
                  <c:v/>
                </c:pt>
              </c:strCache>
            </c:strRef>
          </c:tx>
          <c:spPr>
            <a:solidFill>
              <a:srgbClr val="9bbb59"/>
            </a:solidFill>
            <a:ln>
              <a:noFill/>
            </a:ln>
          </c:spPr>
          <c:invertIfNegative val="0"/>
          <c:cat>
            <c:strRef>
              <c:f>'T. PAES'!$B$123:$G$123</c:f>
              <c:strCache>
                <c:ptCount val="6"/>
                <c:pt idx="0">
                  <c:v>2005</c:v>
                </c:pt>
                <c:pt idx="1">
                  <c:v>2006</c:v>
                </c:pt>
                <c:pt idx="2">
                  <c:v>2007</c:v>
                </c:pt>
                <c:pt idx="3">
                  <c:v>2008</c:v>
                </c:pt>
                <c:pt idx="4">
                  <c:v>2009</c:v>
                </c:pt>
                <c:pt idx="5">
                  <c:v>2010</c:v>
                </c:pt>
              </c:strCache>
            </c:strRef>
          </c:cat>
          <c:val>
            <c:numRef>
              <c:f>'T. PAES'!$B$125:$G$125</c:f>
              <c:numCache>
                <c:formatCode>General</c:formatCode>
                <c:ptCount val="0"/>
              </c:numCache>
            </c:numRef>
          </c:val>
        </c:ser>
        <c:ser>
          <c:idx val="3"/>
          <c:order val="3"/>
          <c:tx>
            <c:strRef>
              <c:f>'T. PAES'!$A$124</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PAES'!$B$123:$G$123</c:f>
              <c:strCache>
                <c:ptCount val="6"/>
                <c:pt idx="0">
                  <c:v>2005</c:v>
                </c:pt>
                <c:pt idx="1">
                  <c:v>2006</c:v>
                </c:pt>
                <c:pt idx="2">
                  <c:v>2007</c:v>
                </c:pt>
                <c:pt idx="3">
                  <c:v>2008</c:v>
                </c:pt>
                <c:pt idx="4">
                  <c:v>2009</c:v>
                </c:pt>
                <c:pt idx="5">
                  <c:v>2010</c:v>
                </c:pt>
              </c:strCache>
            </c:strRef>
          </c:cat>
          <c:val>
            <c:numRef>
              <c:f>'T. PAES'!$B$124:$G$124</c:f>
              <c:numCache>
                <c:formatCode>General</c:formatCode>
                <c:ptCount val="6"/>
                <c:pt idx="0">
                  <c:v>43823.513</c:v>
                </c:pt>
                <c:pt idx="1">
                  <c:v>44975.886</c:v>
                </c:pt>
                <c:pt idx="2">
                  <c:v>47164.873</c:v>
                </c:pt>
                <c:pt idx="3">
                  <c:v>47462.39</c:v>
                </c:pt>
                <c:pt idx="4">
                  <c:v>46024.755</c:v>
                </c:pt>
                <c:pt idx="5">
                  <c:v>51014.006</c:v>
                </c:pt>
              </c:numCache>
            </c:numRef>
          </c:val>
        </c:ser>
        <c:gapWidth val="150"/>
        <c:overlap val="100"/>
        <c:axId val="71616424"/>
        <c:axId val="58670837"/>
      </c:barChart>
      <c:catAx>
        <c:axId val="71616424"/>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8670837"/>
        <c:crosses val="autoZero"/>
        <c:auto val="1"/>
        <c:lblAlgn val="ctr"/>
        <c:lblOffset val="100"/>
      </c:catAx>
      <c:valAx>
        <c:axId val="5867083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domèstic</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71616424"/>
        <c:crosses val="autoZero"/>
        <c:crossBetween val="midCat"/>
      </c:valAx>
      <c:spPr>
        <a:solidFill>
          <a:srgbClr val="ffffff"/>
        </a:solidFill>
        <a:ln>
          <a:noFill/>
        </a:ln>
      </c:spPr>
    </c:plotArea>
    <c:legend>
      <c:layout>
        <c:manualLayout>
          <c:xMode val="edge"/>
          <c:yMode val="edge"/>
          <c:x val="0.853382233088835"/>
          <c:y val="0.290837308767889"/>
        </c:manualLayout>
      </c:layout>
      <c:spPr>
        <a:noFill/>
        <a:ln>
          <a:noFill/>
        </a:ln>
      </c:spPr>
    </c:legend>
    <c:plotVisOnly val="1"/>
    <c:dispBlanksAs val="zero"/>
  </c:chart>
  <c:spPr>
    <a:solidFill>
      <a:srgbClr val="ffffff"/>
    </a:solidFill>
    <a:ln>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17596741344195"/>
          <c:y val="0.0752326272025342"/>
          <c:w val="0.592179226069246"/>
          <c:h val="0.724213027123342"/>
        </c:manualLayout>
      </c:layout>
      <c:barChart>
        <c:barDir val="col"/>
        <c:grouping val="stacked"/>
        <c:varyColors val="0"/>
        <c:ser>
          <c:idx val="0"/>
          <c:order val="0"/>
          <c:tx>
            <c:strRef>
              <c:f>'T. MUNICIPI'!$A$113</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MUNICIPI'!$B$111:$G$111</c:f>
              <c:strCache>
                <c:ptCount val="6"/>
                <c:pt idx="0">
                  <c:v>2005</c:v>
                </c:pt>
                <c:pt idx="1">
                  <c:v>2006</c:v>
                </c:pt>
                <c:pt idx="2">
                  <c:v>2007</c:v>
                </c:pt>
                <c:pt idx="3">
                  <c:v>2008</c:v>
                </c:pt>
                <c:pt idx="4">
                  <c:v>2009</c:v>
                </c:pt>
                <c:pt idx="5">
                  <c:v>2010</c:v>
                </c:pt>
              </c:strCache>
            </c:strRef>
          </c:cat>
          <c:val>
            <c:numRef>
              <c:f>'T. MUNICIPI'!$B$113:$G$113</c:f>
              <c:numCache>
                <c:formatCode>General</c:formatCode>
                <c:ptCount val="6"/>
                <c:pt idx="0">
                  <c:v>1703.04824296764</c:v>
                </c:pt>
                <c:pt idx="1">
                  <c:v>1494.93003315882</c:v>
                </c:pt>
                <c:pt idx="2">
                  <c:v>1327.92750842675</c:v>
                </c:pt>
                <c:pt idx="3">
                  <c:v>1284.4680893362</c:v>
                </c:pt>
                <c:pt idx="4">
                  <c:v>1046.65626192751</c:v>
                </c:pt>
                <c:pt idx="5">
                  <c:v>876.326598010245</c:v>
                </c:pt>
              </c:numCache>
            </c:numRef>
          </c:val>
        </c:ser>
        <c:ser>
          <c:idx val="1"/>
          <c:order val="1"/>
          <c:tx>
            <c:strRef>
              <c:f>'T. MUNICIPI'!$A$112</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MUNICIPI'!$B$111:$G$111</c:f>
              <c:strCache>
                <c:ptCount val="6"/>
                <c:pt idx="0">
                  <c:v>2005</c:v>
                </c:pt>
                <c:pt idx="1">
                  <c:v>2006</c:v>
                </c:pt>
                <c:pt idx="2">
                  <c:v>2007</c:v>
                </c:pt>
                <c:pt idx="3">
                  <c:v>2008</c:v>
                </c:pt>
                <c:pt idx="4">
                  <c:v>2009</c:v>
                </c:pt>
                <c:pt idx="5">
                  <c:v>2010</c:v>
                </c:pt>
              </c:strCache>
            </c:strRef>
          </c:cat>
          <c:val>
            <c:numRef>
              <c:f>'T. MUNICIPI'!$B$112:$G$112</c:f>
              <c:numCache>
                <c:formatCode>General</c:formatCode>
                <c:ptCount val="6"/>
                <c:pt idx="0">
                  <c:v>819.799166043425</c:v>
                </c:pt>
                <c:pt idx="1">
                  <c:v>918.804653813018</c:v>
                </c:pt>
                <c:pt idx="2">
                  <c:v>693.192635647418</c:v>
                </c:pt>
                <c:pt idx="3">
                  <c:v>701.905054728897</c:v>
                </c:pt>
                <c:pt idx="4">
                  <c:v>735.073827896466</c:v>
                </c:pt>
                <c:pt idx="5">
                  <c:v>613.133011905996</c:v>
                </c:pt>
              </c:numCache>
            </c:numRef>
          </c:val>
        </c:ser>
        <c:gapWidth val="150"/>
        <c:overlap val="100"/>
        <c:axId val="20825286"/>
        <c:axId val="39481697"/>
      </c:barChart>
      <c:catAx>
        <c:axId val="20825286"/>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9481697"/>
        <c:crosses val="autoZero"/>
        <c:auto val="1"/>
        <c:lblAlgn val="ctr"/>
        <c:lblOffset val="100"/>
      </c:catAx>
      <c:valAx>
        <c:axId val="3948169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primari</a:t>
                </a:r>
              </a:p>
            </c:rich>
          </c:tx>
          <c:layout>
            <c:manualLayout>
              <c:xMode val="edge"/>
              <c:yMode val="edge"/>
              <c:x val="0.00692464358452139"/>
              <c:y val="0.157394575331618"/>
            </c:manualLayout>
          </c:layout>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0825286"/>
        <c:crosses val="autoZero"/>
        <c:crossBetween val="midCat"/>
      </c:valAx>
      <c:spPr>
        <a:solidFill>
          <a:srgbClr val="ffffff"/>
        </a:solidFill>
        <a:ln>
          <a:noFill/>
        </a:ln>
      </c:spPr>
    </c:plotArea>
    <c:legend>
      <c:layout>
        <c:manualLayout>
          <c:xMode val="edge"/>
          <c:yMode val="edge"/>
          <c:x val="0.855478615071283"/>
          <c:y val="0.119580281132449"/>
        </c:manualLayout>
      </c:layout>
      <c:spPr>
        <a:noFill/>
        <a:ln>
          <a:noFill/>
        </a:ln>
      </c:spPr>
    </c:legend>
    <c:plotVisOnly val="1"/>
    <c:dispBlanksAs val="gap"/>
  </c:chart>
  <c:spPr>
    <a:solidFill>
      <a:srgbClr val="ffffff"/>
    </a:solidFill>
    <a:ln>
      <a:noFill/>
    </a:ln>
  </c:spPr>
</c:chartSpace>
</file>

<file path=xl/charts/chart60.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PAES'!$A$142</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PAES'!$B$138:$G$138</c:f>
              <c:strCache>
                <c:ptCount val="6"/>
                <c:pt idx="0">
                  <c:v>2005</c:v>
                </c:pt>
                <c:pt idx="1">
                  <c:v>2006</c:v>
                </c:pt>
                <c:pt idx="2">
                  <c:v>2007</c:v>
                </c:pt>
                <c:pt idx="3">
                  <c:v>2008</c:v>
                </c:pt>
                <c:pt idx="4">
                  <c:v>2009</c:v>
                </c:pt>
                <c:pt idx="5">
                  <c:v>2010</c:v>
                </c:pt>
              </c:strCache>
            </c:strRef>
          </c:cat>
          <c:val>
            <c:numRef>
              <c:f>'T. PAES'!$B$142:$G$142</c:f>
              <c:numCache>
                <c:formatCode>General</c:formatCode>
                <c:ptCount val="6"/>
                <c:pt idx="0">
                  <c:v>5643.63943995881</c:v>
                </c:pt>
                <c:pt idx="1">
                  <c:v>6851.94915642084</c:v>
                </c:pt>
                <c:pt idx="2">
                  <c:v>7516.45440651332</c:v>
                </c:pt>
                <c:pt idx="3">
                  <c:v>6585.71172855981</c:v>
                </c:pt>
                <c:pt idx="4">
                  <c:v>6086.07844267084</c:v>
                </c:pt>
                <c:pt idx="5">
                  <c:v>4817.49155775713</c:v>
                </c:pt>
              </c:numCache>
            </c:numRef>
          </c:val>
        </c:ser>
        <c:ser>
          <c:idx val="1"/>
          <c:order val="1"/>
          <c:tx>
            <c:strRef>
              <c:f>'T. PAES'!$A$141</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PAES'!$B$138:$G$138</c:f>
              <c:strCache>
                <c:ptCount val="6"/>
                <c:pt idx="0">
                  <c:v>2005</c:v>
                </c:pt>
                <c:pt idx="1">
                  <c:v>2006</c:v>
                </c:pt>
                <c:pt idx="2">
                  <c:v>2007</c:v>
                </c:pt>
                <c:pt idx="3">
                  <c:v>2008</c:v>
                </c:pt>
                <c:pt idx="4">
                  <c:v>2009</c:v>
                </c:pt>
                <c:pt idx="5">
                  <c:v>2010</c:v>
                </c:pt>
              </c:strCache>
            </c:strRef>
          </c:cat>
          <c:val>
            <c:numRef>
              <c:f>'T. PAES'!$B$141:$G$141</c:f>
              <c:numCache>
                <c:formatCode>General</c:formatCode>
                <c:ptCount val="6"/>
                <c:pt idx="0">
                  <c:v>1921.55883735625</c:v>
                </c:pt>
                <c:pt idx="1">
                  <c:v>1763.85378424059</c:v>
                </c:pt>
                <c:pt idx="2">
                  <c:v>1559.1021836616</c:v>
                </c:pt>
                <c:pt idx="3">
                  <c:v>1517.33548580717</c:v>
                </c:pt>
                <c:pt idx="4">
                  <c:v>1411.98618389238</c:v>
                </c:pt>
                <c:pt idx="5">
                  <c:v>1211.78761315104</c:v>
                </c:pt>
              </c:numCache>
            </c:numRef>
          </c:val>
        </c:ser>
        <c:ser>
          <c:idx val="2"/>
          <c:order val="2"/>
          <c:tx>
            <c:strRef>
              <c:f>'T. PAES'!$A$140</c:f>
              <c:strCache>
                <c:ptCount val="1"/>
                <c:pt idx="0">
                  <c:v/>
                </c:pt>
              </c:strCache>
            </c:strRef>
          </c:tx>
          <c:spPr>
            <a:solidFill>
              <a:srgbClr val="9bbb59"/>
            </a:solidFill>
            <a:ln>
              <a:noFill/>
            </a:ln>
          </c:spPr>
          <c:invertIfNegative val="0"/>
          <c:cat>
            <c:strRef>
              <c:f>'T. PAES'!$B$138:$G$138</c:f>
              <c:strCache>
                <c:ptCount val="6"/>
                <c:pt idx="0">
                  <c:v>2005</c:v>
                </c:pt>
                <c:pt idx="1">
                  <c:v>2006</c:v>
                </c:pt>
                <c:pt idx="2">
                  <c:v>2007</c:v>
                </c:pt>
                <c:pt idx="3">
                  <c:v>2008</c:v>
                </c:pt>
                <c:pt idx="4">
                  <c:v>2009</c:v>
                </c:pt>
                <c:pt idx="5">
                  <c:v>2010</c:v>
                </c:pt>
              </c:strCache>
            </c:strRef>
          </c:cat>
          <c:val>
            <c:numRef>
              <c:f>'T. PAES'!$B$140:$G$140</c:f>
              <c:numCache>
                <c:formatCode>General</c:formatCode>
                <c:ptCount val="0"/>
              </c:numCache>
            </c:numRef>
          </c:val>
        </c:ser>
        <c:ser>
          <c:idx val="3"/>
          <c:order val="3"/>
          <c:tx>
            <c:strRef>
              <c:f>'T. PAES'!$A$139</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PAES'!$B$138:$G$138</c:f>
              <c:strCache>
                <c:ptCount val="6"/>
                <c:pt idx="0">
                  <c:v>2005</c:v>
                </c:pt>
                <c:pt idx="1">
                  <c:v>2006</c:v>
                </c:pt>
                <c:pt idx="2">
                  <c:v>2007</c:v>
                </c:pt>
                <c:pt idx="3">
                  <c:v>2008</c:v>
                </c:pt>
                <c:pt idx="4">
                  <c:v>2009</c:v>
                </c:pt>
                <c:pt idx="5">
                  <c:v>2010</c:v>
                </c:pt>
              </c:strCache>
            </c:strRef>
          </c:cat>
          <c:val>
            <c:numRef>
              <c:f>'T. PAES'!$B$139:$G$139</c:f>
              <c:numCache>
                <c:formatCode>General</c:formatCode>
                <c:ptCount val="6"/>
                <c:pt idx="0">
                  <c:v>36978.2802694</c:v>
                </c:pt>
                <c:pt idx="1">
                  <c:v>40856.0948424</c:v>
                </c:pt>
                <c:pt idx="2">
                  <c:v>38727.0772203</c:v>
                </c:pt>
                <c:pt idx="3">
                  <c:v>39260.889008</c:v>
                </c:pt>
                <c:pt idx="4">
                  <c:v>39033.5947155</c:v>
                </c:pt>
                <c:pt idx="5">
                  <c:v>43264.9784886</c:v>
                </c:pt>
              </c:numCache>
            </c:numRef>
          </c:val>
        </c:ser>
        <c:gapWidth val="150"/>
        <c:overlap val="100"/>
        <c:axId val="46067833"/>
        <c:axId val="80724813"/>
      </c:barChart>
      <c:catAx>
        <c:axId val="46067833"/>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0724813"/>
        <c:crosses val="autoZero"/>
        <c:auto val="1"/>
        <c:lblAlgn val="ctr"/>
        <c:lblOffset val="100"/>
      </c:catAx>
      <c:valAx>
        <c:axId val="80724813"/>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domèstic</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46067833"/>
        <c:crosses val="autoZero"/>
        <c:crossBetween val="midCat"/>
      </c:valAx>
      <c:spPr>
        <a:solidFill>
          <a:srgbClr val="ffffff"/>
        </a:solidFill>
        <a:ln>
          <a:noFill/>
        </a:ln>
      </c:spPr>
    </c:plotArea>
    <c:legend>
      <c:layout>
        <c:manualLayout>
          <c:xMode val="edge"/>
          <c:yMode val="edge"/>
          <c:x val="0.865118174409128"/>
          <c:y val="0.308180993128484"/>
        </c:manualLayout>
      </c:layout>
      <c:spPr>
        <a:noFill/>
        <a:ln>
          <a:noFill/>
        </a:ln>
      </c:spPr>
    </c:legend>
    <c:plotVisOnly val="1"/>
    <c:dispBlanksAs val="gap"/>
  </c:chart>
  <c:spPr>
    <a:solidFill>
      <a:srgbClr val="ffffff"/>
    </a:solidFill>
    <a:ln>
      <a:noFill/>
    </a:ln>
  </c:spPr>
</c:chartSpace>
</file>

<file path=xl/charts/chart61.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PAES'!$A$178</c:f>
              <c:strCache>
                <c:ptCount val="1"/>
                <c:pt idx="0">
                  <c:v/>
                </c:pt>
              </c:strCache>
            </c:strRef>
          </c:tx>
          <c:spPr>
            <a:solidFill>
              <a:srgbClr val="4f81bd"/>
            </a:solidFill>
            <a:ln>
              <a:noFill/>
            </a:ln>
          </c:spPr>
          <c:invertIfNegative val="0"/>
          <c:cat>
            <c:strRef>
              <c:f>'T. PAES'!$B$177:$G$177</c:f>
              <c:strCache>
                <c:ptCount val="6"/>
                <c:pt idx="0">
                  <c:v>2005</c:v>
                </c:pt>
                <c:pt idx="1">
                  <c:v>2006</c:v>
                </c:pt>
                <c:pt idx="2">
                  <c:v>2007</c:v>
                </c:pt>
                <c:pt idx="3">
                  <c:v>2008</c:v>
                </c:pt>
                <c:pt idx="4">
                  <c:v>2009</c:v>
                </c:pt>
                <c:pt idx="5">
                  <c:v>2010</c:v>
                </c:pt>
              </c:strCache>
            </c:strRef>
          </c:cat>
          <c:val>
            <c:numRef>
              <c:f>'T. PAES'!$B$178:$G$178</c:f>
              <c:numCache>
                <c:formatCode>General</c:formatCode>
                <c:ptCount val="0"/>
              </c:numCache>
            </c:numRef>
          </c:val>
        </c:ser>
        <c:ser>
          <c:idx val="1"/>
          <c:order val="1"/>
          <c:tx>
            <c:strRef>
              <c:f>'T. PAES'!$A$179</c:f>
              <c:strCache>
                <c:ptCount val="1"/>
                <c:pt idx="0">
                  <c:v/>
                </c:pt>
              </c:strCache>
            </c:strRef>
          </c:tx>
          <c:spPr>
            <a:solidFill>
              <a:srgbClr val="c0504d"/>
            </a:solidFill>
            <a:ln>
              <a:noFill/>
            </a:ln>
          </c:spPr>
          <c:invertIfNegative val="0"/>
          <c:cat>
            <c:strRef>
              <c:f>'T. PAES'!$B$177:$G$177</c:f>
              <c:strCache>
                <c:ptCount val="6"/>
                <c:pt idx="0">
                  <c:v>2005</c:v>
                </c:pt>
                <c:pt idx="1">
                  <c:v>2006</c:v>
                </c:pt>
                <c:pt idx="2">
                  <c:v>2007</c:v>
                </c:pt>
                <c:pt idx="3">
                  <c:v>2008</c:v>
                </c:pt>
                <c:pt idx="4">
                  <c:v>2009</c:v>
                </c:pt>
                <c:pt idx="5">
                  <c:v>2010</c:v>
                </c:pt>
              </c:strCache>
            </c:strRef>
          </c:cat>
          <c:val>
            <c:numRef>
              <c:f>'T. PAES'!$B$179:$G$179</c:f>
              <c:numCache>
                <c:formatCode>General</c:formatCode>
                <c:ptCount val="0"/>
              </c:numCache>
            </c:numRef>
          </c:val>
        </c:ser>
        <c:ser>
          <c:idx val="2"/>
          <c:order val="2"/>
          <c:tx>
            <c:strRef>
              <c:f>'T. PAES'!$A$180</c:f>
              <c:strCache>
                <c:ptCount val="1"/>
                <c:pt idx="0">
                  <c:v/>
                </c:pt>
              </c:strCache>
            </c:strRef>
          </c:tx>
          <c:spPr>
            <a:solidFill>
              <a:srgbClr val="9bbb59"/>
            </a:solidFill>
            <a:ln>
              <a:noFill/>
            </a:ln>
          </c:spPr>
          <c:invertIfNegative val="0"/>
          <c:cat>
            <c:strRef>
              <c:f>'T. PAES'!$B$177:$G$177</c:f>
              <c:strCache>
                <c:ptCount val="6"/>
                <c:pt idx="0">
                  <c:v>2005</c:v>
                </c:pt>
                <c:pt idx="1">
                  <c:v>2006</c:v>
                </c:pt>
                <c:pt idx="2">
                  <c:v>2007</c:v>
                </c:pt>
                <c:pt idx="3">
                  <c:v>2008</c:v>
                </c:pt>
                <c:pt idx="4">
                  <c:v>2009</c:v>
                </c:pt>
                <c:pt idx="5">
                  <c:v>2010</c:v>
                </c:pt>
              </c:strCache>
            </c:strRef>
          </c:cat>
          <c:val>
            <c:numRef>
              <c:f>'T. PAES'!$B$180:$G$180</c:f>
              <c:numCache>
                <c:formatCode>General</c:formatCode>
                <c:ptCount val="0"/>
              </c:numCache>
            </c:numRef>
          </c:val>
        </c:ser>
        <c:ser>
          <c:idx val="3"/>
          <c:order val="3"/>
          <c:tx>
            <c:strRef>
              <c:f>'T. PAES'!$A$182</c:f>
              <c:strCache>
                <c:ptCount val="1"/>
                <c:pt idx="0">
                  <c:v>Gasoil A</c:v>
                </c:pt>
              </c:strCache>
            </c:strRef>
          </c:tx>
          <c:spPr>
            <a:solidFill>
              <a:srgbClr val="8064a2"/>
            </a:solidFill>
            <a:ln>
              <a:noFill/>
            </a:ln>
          </c:spPr>
          <c:invertIfNegative val="0"/>
          <c:dLbls>
            <c:showLegendKey val="0"/>
            <c:showVal val="0"/>
            <c:showCatName val="0"/>
            <c:showSerName val="0"/>
            <c:showPercent val="0"/>
            <c:showLeaderLines val="0"/>
          </c:dLbls>
          <c:cat>
            <c:strRef>
              <c:f>'T. PAES'!$B$177:$G$177</c:f>
              <c:strCache>
                <c:ptCount val="6"/>
                <c:pt idx="0">
                  <c:v>2005</c:v>
                </c:pt>
                <c:pt idx="1">
                  <c:v>2006</c:v>
                </c:pt>
                <c:pt idx="2">
                  <c:v>2007</c:v>
                </c:pt>
                <c:pt idx="3">
                  <c:v>2008</c:v>
                </c:pt>
                <c:pt idx="4">
                  <c:v>2009</c:v>
                </c:pt>
                <c:pt idx="5">
                  <c:v>2010</c:v>
                </c:pt>
              </c:strCache>
            </c:strRef>
          </c:cat>
          <c:val>
            <c:numRef>
              <c:f>'T. PAES'!$B$182:$G$182</c:f>
              <c:numCache>
                <c:formatCode>General</c:formatCode>
                <c:ptCount val="6"/>
                <c:pt idx="0">
                  <c:v>52248.3794139128</c:v>
                </c:pt>
                <c:pt idx="1">
                  <c:v>55964.0569097054</c:v>
                </c:pt>
                <c:pt idx="2">
                  <c:v>60269.4187521418</c:v>
                </c:pt>
                <c:pt idx="3">
                  <c:v>59972.2009999196</c:v>
                </c:pt>
                <c:pt idx="4">
                  <c:v>57330.144326916</c:v>
                </c:pt>
                <c:pt idx="5">
                  <c:v>56140.2784321843</c:v>
                </c:pt>
              </c:numCache>
            </c:numRef>
          </c:val>
        </c:ser>
        <c:ser>
          <c:idx val="4"/>
          <c:order val="4"/>
          <c:tx>
            <c:strRef>
              <c:f>'T. PAES'!$A$181</c:f>
              <c:strCache>
                <c:ptCount val="1"/>
                <c:pt idx="0">
                  <c:v>Benzina</c:v>
                </c:pt>
              </c:strCache>
            </c:strRef>
          </c:tx>
          <c:spPr>
            <a:solidFill>
              <a:srgbClr val="4bacc6"/>
            </a:solidFill>
            <a:ln>
              <a:noFill/>
            </a:ln>
          </c:spPr>
          <c:invertIfNegative val="0"/>
          <c:dLbls>
            <c:showLegendKey val="0"/>
            <c:showVal val="0"/>
            <c:showCatName val="0"/>
            <c:showSerName val="0"/>
            <c:showPercent val="0"/>
            <c:showLeaderLines val="0"/>
          </c:dLbls>
          <c:cat>
            <c:strRef>
              <c:f>'T. PAES'!$B$177:$G$177</c:f>
              <c:strCache>
                <c:ptCount val="6"/>
                <c:pt idx="0">
                  <c:v>2005</c:v>
                </c:pt>
                <c:pt idx="1">
                  <c:v>2006</c:v>
                </c:pt>
                <c:pt idx="2">
                  <c:v>2007</c:v>
                </c:pt>
                <c:pt idx="3">
                  <c:v>2008</c:v>
                </c:pt>
                <c:pt idx="4">
                  <c:v>2009</c:v>
                </c:pt>
                <c:pt idx="5">
                  <c:v>2010</c:v>
                </c:pt>
              </c:strCache>
            </c:strRef>
          </c:cat>
          <c:val>
            <c:numRef>
              <c:f>'T. PAES'!$B$181:$G$181</c:f>
              <c:numCache>
                <c:formatCode>General</c:formatCode>
                <c:ptCount val="6"/>
                <c:pt idx="0">
                  <c:v>34836.8314454196</c:v>
                </c:pt>
                <c:pt idx="1">
                  <c:v>35409.5394101154</c:v>
                </c:pt>
                <c:pt idx="2">
                  <c:v>35196.5507080797</c:v>
                </c:pt>
                <c:pt idx="3">
                  <c:v>33553.6409992852</c:v>
                </c:pt>
                <c:pt idx="4">
                  <c:v>31985.7961396805</c:v>
                </c:pt>
                <c:pt idx="5">
                  <c:v>30823.9985122559</c:v>
                </c:pt>
              </c:numCache>
            </c:numRef>
          </c:val>
        </c:ser>
        <c:gapWidth val="150"/>
        <c:overlap val="100"/>
        <c:axId val="55592654"/>
        <c:axId val="58782844"/>
      </c:barChart>
      <c:catAx>
        <c:axId val="55592654"/>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8782844"/>
        <c:crosses val="autoZero"/>
        <c:auto val="1"/>
        <c:lblAlgn val="ctr"/>
        <c:lblOffset val="100"/>
      </c:catAx>
      <c:valAx>
        <c:axId val="58782844"/>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transport</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5592654"/>
        <c:crosses val="autoZero"/>
        <c:crossBetween val="midCat"/>
      </c:valAx>
      <c:spPr>
        <a:solidFill>
          <a:srgbClr val="ffffff"/>
        </a:solidFill>
        <a:ln>
          <a:noFill/>
        </a:ln>
      </c:spPr>
    </c:plotArea>
    <c:legend>
      <c:layout>
        <c:manualLayout>
          <c:xMode val="edge"/>
          <c:yMode val="edge"/>
          <c:x val="0.855012224938875"/>
          <c:y val="0.320584372948129"/>
        </c:manualLayout>
      </c:layout>
      <c:spPr>
        <a:noFill/>
        <a:ln>
          <a:noFill/>
        </a:ln>
      </c:spPr>
    </c:legend>
    <c:plotVisOnly val="1"/>
    <c:dispBlanksAs val="gap"/>
  </c:chart>
  <c:spPr>
    <a:solidFill>
      <a:srgbClr val="ffffff"/>
    </a:solidFill>
    <a:ln>
      <a:noFill/>
    </a:ln>
  </c:spPr>
</c:chartSpace>
</file>

<file path=xl/charts/chart6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92583537082315"/>
          <c:y val="0.0694193123869057"/>
          <c:w val="0.573431132844336"/>
          <c:h val="0.74518835334759"/>
        </c:manualLayout>
      </c:layout>
      <c:barChart>
        <c:barDir val="col"/>
        <c:grouping val="clustered"/>
        <c:varyColors val="0"/>
        <c:ser>
          <c:idx val="0"/>
          <c:order val="0"/>
          <c:tx>
            <c:strRef>
              <c:f>'T. PAES'!$A$211</c:f>
              <c:strCache>
                <c:ptCount val="1"/>
                <c:pt idx="0">
                  <c:v>Rebuig</c:v>
                </c:pt>
              </c:strCache>
            </c:strRef>
          </c:tx>
          <c:spPr>
            <a:solidFill>
              <a:srgbClr val="4f81bd"/>
            </a:solidFill>
            <a:ln>
              <a:noFill/>
            </a:ln>
          </c:spPr>
          <c:invertIfNegative val="0"/>
          <c:dLbls>
            <c:showLegendKey val="0"/>
            <c:showVal val="0"/>
            <c:showCatName val="0"/>
            <c:showSerName val="0"/>
            <c:showPercent val="0"/>
            <c:showLeaderLines val="0"/>
          </c:dLbls>
          <c:cat>
            <c:strRef>
              <c:f>'T. PAES'!$B$210:$G$210</c:f>
              <c:strCache>
                <c:ptCount val="6"/>
                <c:pt idx="0">
                  <c:v>2005</c:v>
                </c:pt>
                <c:pt idx="1">
                  <c:v>2006</c:v>
                </c:pt>
                <c:pt idx="2">
                  <c:v>2007</c:v>
                </c:pt>
                <c:pt idx="3">
                  <c:v>2008</c:v>
                </c:pt>
                <c:pt idx="4">
                  <c:v>2009</c:v>
                </c:pt>
                <c:pt idx="5">
                  <c:v>2010</c:v>
                </c:pt>
              </c:strCache>
            </c:strRef>
          </c:cat>
          <c:val>
            <c:numRef>
              <c:f>'T. PAES'!$B$211:$G$211</c:f>
              <c:numCache>
                <c:formatCode>General</c:formatCode>
                <c:ptCount val="6"/>
                <c:pt idx="0">
                  <c:v>8464.394</c:v>
                </c:pt>
                <c:pt idx="1">
                  <c:v>9004.465</c:v>
                </c:pt>
                <c:pt idx="2">
                  <c:v>9927.661</c:v>
                </c:pt>
                <c:pt idx="3">
                  <c:v>8807.73</c:v>
                </c:pt>
                <c:pt idx="4">
                  <c:v>7895.4</c:v>
                </c:pt>
                <c:pt idx="5">
                  <c:v>7915.577</c:v>
                </c:pt>
              </c:numCache>
            </c:numRef>
          </c:val>
        </c:ser>
        <c:ser>
          <c:idx val="1"/>
          <c:order val="1"/>
          <c:tx>
            <c:strRef>
              <c:f>'T. PAES'!$A$212</c:f>
              <c:strCache>
                <c:ptCount val="1"/>
                <c:pt idx="0">
                  <c:v>Orgànica</c:v>
                </c:pt>
              </c:strCache>
            </c:strRef>
          </c:tx>
          <c:spPr>
            <a:solidFill>
              <a:srgbClr val="c0504d"/>
            </a:solidFill>
            <a:ln>
              <a:noFill/>
            </a:ln>
          </c:spPr>
          <c:invertIfNegative val="0"/>
          <c:dLbls>
            <c:showLegendKey val="0"/>
            <c:showVal val="0"/>
            <c:showCatName val="0"/>
            <c:showSerName val="0"/>
            <c:showPercent val="0"/>
            <c:showLeaderLines val="0"/>
          </c:dLbls>
          <c:cat>
            <c:strRef>
              <c:f>'T. PAES'!$B$210:$G$210</c:f>
              <c:strCache>
                <c:ptCount val="6"/>
                <c:pt idx="0">
                  <c:v>2005</c:v>
                </c:pt>
                <c:pt idx="1">
                  <c:v>2006</c:v>
                </c:pt>
                <c:pt idx="2">
                  <c:v>2007</c:v>
                </c:pt>
                <c:pt idx="3">
                  <c:v>2008</c:v>
                </c:pt>
                <c:pt idx="4">
                  <c:v>2009</c:v>
                </c:pt>
                <c:pt idx="5">
                  <c:v>2010</c:v>
                </c:pt>
              </c:strCache>
            </c:strRef>
          </c:cat>
          <c:val>
            <c:numRef>
              <c:f>'T. PAES'!$B$212:$G$212</c:f>
              <c:numCache>
                <c:formatCode>General</c:formatCode>
                <c:ptCount val="6"/>
                <c:pt idx="0">
                  <c:v>0</c:v>
                </c:pt>
                <c:pt idx="1">
                  <c:v>0</c:v>
                </c:pt>
                <c:pt idx="2">
                  <c:v>0</c:v>
                </c:pt>
                <c:pt idx="3">
                  <c:v>0</c:v>
                </c:pt>
                <c:pt idx="4">
                  <c:v>51.86</c:v>
                </c:pt>
                <c:pt idx="5">
                  <c:v>44.64</c:v>
                </c:pt>
              </c:numCache>
            </c:numRef>
          </c:val>
        </c:ser>
        <c:ser>
          <c:idx val="2"/>
          <c:order val="2"/>
          <c:tx>
            <c:strRef>
              <c:f>'T. PAES'!$A$213</c:f>
              <c:strCache>
                <c:ptCount val="1"/>
                <c:pt idx="0">
                  <c:v>Paper-cartró</c:v>
                </c:pt>
              </c:strCache>
            </c:strRef>
          </c:tx>
          <c:spPr>
            <a:solidFill>
              <a:srgbClr val="9bbb59"/>
            </a:solidFill>
            <a:ln>
              <a:noFill/>
            </a:ln>
          </c:spPr>
          <c:invertIfNegative val="0"/>
          <c:dLbls>
            <c:showLegendKey val="0"/>
            <c:showVal val="0"/>
            <c:showCatName val="0"/>
            <c:showSerName val="0"/>
            <c:showPercent val="0"/>
            <c:showLeaderLines val="0"/>
          </c:dLbls>
          <c:cat>
            <c:strRef>
              <c:f>'T. PAES'!$B$210:$G$210</c:f>
              <c:strCache>
                <c:ptCount val="6"/>
                <c:pt idx="0">
                  <c:v>2005</c:v>
                </c:pt>
                <c:pt idx="1">
                  <c:v>2006</c:v>
                </c:pt>
                <c:pt idx="2">
                  <c:v>2007</c:v>
                </c:pt>
                <c:pt idx="3">
                  <c:v>2008</c:v>
                </c:pt>
                <c:pt idx="4">
                  <c:v>2009</c:v>
                </c:pt>
                <c:pt idx="5">
                  <c:v>2010</c:v>
                </c:pt>
              </c:strCache>
            </c:strRef>
          </c:cat>
          <c:val>
            <c:numRef>
              <c:f>'T. PAES'!$B$213:$G$213</c:f>
              <c:numCache>
                <c:formatCode>General</c:formatCode>
                <c:ptCount val="6"/>
                <c:pt idx="0">
                  <c:v>234.76</c:v>
                </c:pt>
                <c:pt idx="1">
                  <c:v>280.375</c:v>
                </c:pt>
                <c:pt idx="2">
                  <c:v>295.24</c:v>
                </c:pt>
                <c:pt idx="3">
                  <c:v>311.16</c:v>
                </c:pt>
                <c:pt idx="4">
                  <c:v>292.518</c:v>
                </c:pt>
                <c:pt idx="5">
                  <c:v>309.6</c:v>
                </c:pt>
              </c:numCache>
            </c:numRef>
          </c:val>
        </c:ser>
        <c:ser>
          <c:idx val="3"/>
          <c:order val="3"/>
          <c:tx>
            <c:strRef>
              <c:f>'T. PAES'!$A$214</c:f>
              <c:strCache>
                <c:ptCount val="1"/>
                <c:pt idx="0">
                  <c:v>Vidre</c:v>
                </c:pt>
              </c:strCache>
            </c:strRef>
          </c:tx>
          <c:spPr>
            <a:solidFill>
              <a:srgbClr val="8064a2"/>
            </a:solidFill>
            <a:ln>
              <a:noFill/>
            </a:ln>
          </c:spPr>
          <c:invertIfNegative val="0"/>
          <c:dLbls>
            <c:showLegendKey val="0"/>
            <c:showVal val="0"/>
            <c:showCatName val="0"/>
            <c:showSerName val="0"/>
            <c:showPercent val="0"/>
            <c:showLeaderLines val="0"/>
          </c:dLbls>
          <c:cat>
            <c:strRef>
              <c:f>'T. PAES'!$B$210:$G$210</c:f>
              <c:strCache>
                <c:ptCount val="6"/>
                <c:pt idx="0">
                  <c:v>2005</c:v>
                </c:pt>
                <c:pt idx="1">
                  <c:v>2006</c:v>
                </c:pt>
                <c:pt idx="2">
                  <c:v>2007</c:v>
                </c:pt>
                <c:pt idx="3">
                  <c:v>2008</c:v>
                </c:pt>
                <c:pt idx="4">
                  <c:v>2009</c:v>
                </c:pt>
                <c:pt idx="5">
                  <c:v>2010</c:v>
                </c:pt>
              </c:strCache>
            </c:strRef>
          </c:cat>
          <c:val>
            <c:numRef>
              <c:f>'T. PAES'!$B$214:$G$214</c:f>
              <c:numCache>
                <c:formatCode>General</c:formatCode>
                <c:ptCount val="6"/>
                <c:pt idx="0">
                  <c:v>339.78</c:v>
                </c:pt>
                <c:pt idx="1">
                  <c:v>404.64</c:v>
                </c:pt>
                <c:pt idx="2">
                  <c:v>397.5</c:v>
                </c:pt>
                <c:pt idx="3">
                  <c:v>435.74</c:v>
                </c:pt>
                <c:pt idx="4">
                  <c:v>443.38</c:v>
                </c:pt>
                <c:pt idx="5">
                  <c:v>417.051</c:v>
                </c:pt>
              </c:numCache>
            </c:numRef>
          </c:val>
        </c:ser>
        <c:ser>
          <c:idx val="4"/>
          <c:order val="4"/>
          <c:tx>
            <c:strRef>
              <c:f>'T. PAES'!$A$215</c:f>
              <c:strCache>
                <c:ptCount val="1"/>
                <c:pt idx="0">
                  <c:v>Envasos</c:v>
                </c:pt>
              </c:strCache>
            </c:strRef>
          </c:tx>
          <c:spPr>
            <a:solidFill>
              <a:srgbClr val="4bacc6"/>
            </a:solidFill>
            <a:ln>
              <a:noFill/>
            </a:ln>
          </c:spPr>
          <c:invertIfNegative val="0"/>
          <c:dLbls>
            <c:showLegendKey val="0"/>
            <c:showVal val="0"/>
            <c:showCatName val="0"/>
            <c:showSerName val="0"/>
            <c:showPercent val="0"/>
            <c:showLeaderLines val="0"/>
          </c:dLbls>
          <c:cat>
            <c:strRef>
              <c:f>'T. PAES'!$B$210:$G$210</c:f>
              <c:strCache>
                <c:ptCount val="6"/>
                <c:pt idx="0">
                  <c:v>2005</c:v>
                </c:pt>
                <c:pt idx="1">
                  <c:v>2006</c:v>
                </c:pt>
                <c:pt idx="2">
                  <c:v>2007</c:v>
                </c:pt>
                <c:pt idx="3">
                  <c:v>2008</c:v>
                </c:pt>
                <c:pt idx="4">
                  <c:v>2009</c:v>
                </c:pt>
                <c:pt idx="5">
                  <c:v>2010</c:v>
                </c:pt>
              </c:strCache>
            </c:strRef>
          </c:cat>
          <c:val>
            <c:numRef>
              <c:f>'T. PAES'!$B$215:$G$215</c:f>
              <c:numCache>
                <c:formatCode>General</c:formatCode>
                <c:ptCount val="6"/>
                <c:pt idx="0">
                  <c:v>44.96</c:v>
                </c:pt>
                <c:pt idx="1">
                  <c:v>65.42</c:v>
                </c:pt>
                <c:pt idx="2">
                  <c:v>75.78</c:v>
                </c:pt>
                <c:pt idx="3">
                  <c:v>93.92</c:v>
                </c:pt>
                <c:pt idx="4">
                  <c:v>121.36</c:v>
                </c:pt>
                <c:pt idx="5">
                  <c:v>125.691</c:v>
                </c:pt>
              </c:numCache>
            </c:numRef>
          </c:val>
        </c:ser>
        <c:gapWidth val="150"/>
        <c:overlap val="0"/>
        <c:axId val="54037684"/>
        <c:axId val="3956082"/>
      </c:barChart>
      <c:catAx>
        <c:axId val="54037684"/>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956082"/>
        <c:crosses val="autoZero"/>
        <c:auto val="1"/>
        <c:lblAlgn val="ctr"/>
        <c:lblOffset val="100"/>
      </c:catAx>
      <c:valAx>
        <c:axId val="395608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residus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4037684"/>
        <c:crosses val="autoZero"/>
        <c:crossBetween val="midCat"/>
      </c:valAx>
      <c:spPr>
        <a:solidFill>
          <a:srgbClr val="ffffff"/>
        </a:solidFill>
        <a:ln>
          <a:noFill/>
        </a:ln>
      </c:spPr>
    </c:plotArea>
    <c:legend>
      <c:layout>
        <c:manualLayout>
          <c:xMode val="edge"/>
          <c:yMode val="edge"/>
          <c:x val="0.769356153219234"/>
          <c:y val="0.253002138509623"/>
        </c:manualLayout>
      </c:layout>
      <c:spPr>
        <a:noFill/>
        <a:ln>
          <a:noFill/>
        </a:ln>
      </c:spPr>
    </c:legend>
    <c:plotVisOnly val="1"/>
    <c:dispBlanksAs val="gap"/>
  </c:chart>
  <c:spPr>
    <a:solidFill>
      <a:srgbClr val="ffffff"/>
    </a:solidFill>
    <a:ln>
      <a:noFill/>
    </a:ln>
  </c:spPr>
</c:chartSpace>
</file>

<file path=xl/charts/chart63.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PAES'!$A$191</c:f>
              <c:strCache>
                <c:ptCount val="1"/>
                <c:pt idx="0">
                  <c:v/>
                </c:pt>
              </c:strCache>
            </c:strRef>
          </c:tx>
          <c:spPr>
            <a:solidFill>
              <a:srgbClr val="4f81bd"/>
            </a:solidFill>
            <a:ln>
              <a:noFill/>
            </a:ln>
          </c:spPr>
          <c:invertIfNegative val="0"/>
          <c:cat>
            <c:strRef>
              <c:f>'T. PAES'!$B$190:$G$190</c:f>
              <c:strCache>
                <c:ptCount val="6"/>
                <c:pt idx="0">
                  <c:v>2005</c:v>
                </c:pt>
                <c:pt idx="1">
                  <c:v>2006</c:v>
                </c:pt>
                <c:pt idx="2">
                  <c:v>2007</c:v>
                </c:pt>
                <c:pt idx="3">
                  <c:v>2008</c:v>
                </c:pt>
                <c:pt idx="4">
                  <c:v>2009</c:v>
                </c:pt>
                <c:pt idx="5">
                  <c:v>2010</c:v>
                </c:pt>
              </c:strCache>
            </c:strRef>
          </c:cat>
          <c:val>
            <c:numRef>
              <c:f>'T. PAES'!$B$191:$G$191</c:f>
              <c:numCache>
                <c:formatCode>General</c:formatCode>
                <c:ptCount val="0"/>
              </c:numCache>
            </c:numRef>
          </c:val>
        </c:ser>
        <c:ser>
          <c:idx val="1"/>
          <c:order val="1"/>
          <c:tx>
            <c:strRef>
              <c:f>'T. PAES'!$A$192</c:f>
              <c:strCache>
                <c:ptCount val="1"/>
                <c:pt idx="0">
                  <c:v/>
                </c:pt>
              </c:strCache>
            </c:strRef>
          </c:tx>
          <c:spPr>
            <a:solidFill>
              <a:srgbClr val="c0504d"/>
            </a:solidFill>
            <a:ln>
              <a:noFill/>
            </a:ln>
          </c:spPr>
          <c:invertIfNegative val="0"/>
          <c:cat>
            <c:strRef>
              <c:f>'T. PAES'!$B$190:$G$190</c:f>
              <c:strCache>
                <c:ptCount val="6"/>
                <c:pt idx="0">
                  <c:v>2005</c:v>
                </c:pt>
                <c:pt idx="1">
                  <c:v>2006</c:v>
                </c:pt>
                <c:pt idx="2">
                  <c:v>2007</c:v>
                </c:pt>
                <c:pt idx="3">
                  <c:v>2008</c:v>
                </c:pt>
                <c:pt idx="4">
                  <c:v>2009</c:v>
                </c:pt>
                <c:pt idx="5">
                  <c:v>2010</c:v>
                </c:pt>
              </c:strCache>
            </c:strRef>
          </c:cat>
          <c:val>
            <c:numRef>
              <c:f>'T. PAES'!$B$192:$G$192</c:f>
              <c:numCache>
                <c:formatCode>General</c:formatCode>
                <c:ptCount val="0"/>
              </c:numCache>
            </c:numRef>
          </c:val>
        </c:ser>
        <c:ser>
          <c:idx val="2"/>
          <c:order val="2"/>
          <c:tx>
            <c:strRef>
              <c:f>'T. PAES'!$A$193</c:f>
              <c:strCache>
                <c:ptCount val="1"/>
                <c:pt idx="0">
                  <c:v/>
                </c:pt>
              </c:strCache>
            </c:strRef>
          </c:tx>
          <c:spPr>
            <a:solidFill>
              <a:srgbClr val="9bbb59"/>
            </a:solidFill>
            <a:ln>
              <a:noFill/>
            </a:ln>
          </c:spPr>
          <c:invertIfNegative val="0"/>
          <c:cat>
            <c:strRef>
              <c:f>'T. PAES'!$B$190:$G$190</c:f>
              <c:strCache>
                <c:ptCount val="6"/>
                <c:pt idx="0">
                  <c:v>2005</c:v>
                </c:pt>
                <c:pt idx="1">
                  <c:v>2006</c:v>
                </c:pt>
                <c:pt idx="2">
                  <c:v>2007</c:v>
                </c:pt>
                <c:pt idx="3">
                  <c:v>2008</c:v>
                </c:pt>
                <c:pt idx="4">
                  <c:v>2009</c:v>
                </c:pt>
                <c:pt idx="5">
                  <c:v>2010</c:v>
                </c:pt>
              </c:strCache>
            </c:strRef>
          </c:cat>
          <c:val>
            <c:numRef>
              <c:f>'T. PAES'!$B$193:$G$193</c:f>
              <c:numCache>
                <c:formatCode>General</c:formatCode>
                <c:ptCount val="0"/>
              </c:numCache>
            </c:numRef>
          </c:val>
        </c:ser>
        <c:ser>
          <c:idx val="3"/>
          <c:order val="3"/>
          <c:tx>
            <c:strRef>
              <c:f>'T. PAES'!$A$195</c:f>
              <c:strCache>
                <c:ptCount val="1"/>
                <c:pt idx="0">
                  <c:v>Gasoil A</c:v>
                </c:pt>
              </c:strCache>
            </c:strRef>
          </c:tx>
          <c:spPr>
            <a:solidFill>
              <a:srgbClr val="8064a2"/>
            </a:solidFill>
            <a:ln>
              <a:noFill/>
            </a:ln>
          </c:spPr>
          <c:invertIfNegative val="0"/>
          <c:dLbls>
            <c:showLegendKey val="0"/>
            <c:showVal val="0"/>
            <c:showCatName val="0"/>
            <c:showSerName val="0"/>
            <c:showPercent val="0"/>
            <c:showLeaderLines val="0"/>
          </c:dLbls>
          <c:cat>
            <c:strRef>
              <c:f>'T. PAES'!$B$190:$G$190</c:f>
              <c:strCache>
                <c:ptCount val="6"/>
                <c:pt idx="0">
                  <c:v>2005</c:v>
                </c:pt>
                <c:pt idx="1">
                  <c:v>2006</c:v>
                </c:pt>
                <c:pt idx="2">
                  <c:v>2007</c:v>
                </c:pt>
                <c:pt idx="3">
                  <c:v>2008</c:v>
                </c:pt>
                <c:pt idx="4">
                  <c:v>2009</c:v>
                </c:pt>
                <c:pt idx="5">
                  <c:v>2010</c:v>
                </c:pt>
              </c:strCache>
            </c:strRef>
          </c:cat>
          <c:val>
            <c:numRef>
              <c:f>'T. PAES'!$B$195:$G$195</c:f>
              <c:numCache>
                <c:formatCode>General</c:formatCode>
                <c:ptCount val="6"/>
                <c:pt idx="0">
                  <c:v>13950.3173035147</c:v>
                </c:pt>
                <c:pt idx="1">
                  <c:v>14942.4031948914</c:v>
                </c:pt>
                <c:pt idx="2">
                  <c:v>16091.9348068219</c:v>
                </c:pt>
                <c:pt idx="3">
                  <c:v>16012.5776669785</c:v>
                </c:pt>
                <c:pt idx="4">
                  <c:v>15307.1485352866</c:v>
                </c:pt>
                <c:pt idx="5">
                  <c:v>14989.4543413932</c:v>
                </c:pt>
              </c:numCache>
            </c:numRef>
          </c:val>
        </c:ser>
        <c:ser>
          <c:idx val="4"/>
          <c:order val="4"/>
          <c:tx>
            <c:strRef>
              <c:f>'T. PAES'!$A$194</c:f>
              <c:strCache>
                <c:ptCount val="1"/>
                <c:pt idx="0">
                  <c:v>Benzina</c:v>
                </c:pt>
              </c:strCache>
            </c:strRef>
          </c:tx>
          <c:spPr>
            <a:solidFill>
              <a:srgbClr val="4bacc6"/>
            </a:solidFill>
            <a:ln>
              <a:noFill/>
            </a:ln>
          </c:spPr>
          <c:invertIfNegative val="0"/>
          <c:dLbls>
            <c:showLegendKey val="0"/>
            <c:showVal val="0"/>
            <c:showCatName val="0"/>
            <c:showSerName val="0"/>
            <c:showPercent val="0"/>
            <c:showLeaderLines val="0"/>
          </c:dLbls>
          <c:cat>
            <c:strRef>
              <c:f>'T. PAES'!$B$190:$G$190</c:f>
              <c:strCache>
                <c:ptCount val="6"/>
                <c:pt idx="0">
                  <c:v>2005</c:v>
                </c:pt>
                <c:pt idx="1">
                  <c:v>2006</c:v>
                </c:pt>
                <c:pt idx="2">
                  <c:v>2007</c:v>
                </c:pt>
                <c:pt idx="3">
                  <c:v>2008</c:v>
                </c:pt>
                <c:pt idx="4">
                  <c:v>2009</c:v>
                </c:pt>
                <c:pt idx="5">
                  <c:v>2010</c:v>
                </c:pt>
              </c:strCache>
            </c:strRef>
          </c:cat>
          <c:val>
            <c:numRef>
              <c:f>'T. PAES'!$B$194:$G$194</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er>
        <c:gapWidth val="150"/>
        <c:overlap val="100"/>
        <c:axId val="56822464"/>
        <c:axId val="39448244"/>
      </c:barChart>
      <c:catAx>
        <c:axId val="56822464"/>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9448244"/>
        <c:crosses val="autoZero"/>
        <c:auto val="1"/>
        <c:lblAlgn val="ctr"/>
        <c:lblOffset val="100"/>
      </c:catAx>
      <c:valAx>
        <c:axId val="39448244"/>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transport</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6822464"/>
        <c:crosses val="autoZero"/>
        <c:crossBetween val="midCat"/>
      </c:valAx>
      <c:spPr>
        <a:solidFill>
          <a:srgbClr val="ffffff"/>
        </a:solidFill>
        <a:ln>
          <a:noFill/>
        </a:ln>
      </c:spPr>
    </c:plotArea>
    <c:legend>
      <c:layout>
        <c:manualLayout>
          <c:xMode val="edge"/>
          <c:yMode val="edge"/>
          <c:x val="0.853626731866341"/>
          <c:y val="0.310441370223979"/>
        </c:manualLayout>
      </c:layout>
      <c:spPr>
        <a:noFill/>
        <a:ln>
          <a:noFill/>
        </a:ln>
      </c:spPr>
    </c:legend>
    <c:plotVisOnly val="1"/>
    <c:dispBlanksAs val="gap"/>
  </c:chart>
  <c:spPr>
    <a:solidFill>
      <a:srgbClr val="ffffff"/>
    </a:solidFill>
    <a:ln>
      <a:noFill/>
    </a:ln>
  </c:spPr>
</c:chartSpace>
</file>

<file path=xl/charts/chart6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6519967400163"/>
          <c:y val="0.0535128036769534"/>
          <c:w val="0.588427057864711"/>
          <c:h val="0.892810242941563"/>
        </c:manualLayout>
      </c:layout>
      <c:barChart>
        <c:barDir val="col"/>
        <c:grouping val="stacked"/>
        <c:varyColors val="0"/>
        <c:ser>
          <c:idx val="0"/>
          <c:order val="0"/>
          <c:tx>
            <c:strRef>
              <c:f>'T. PAES'!$A$232</c:f>
              <c:strCache>
                <c:ptCount val="1"/>
                <c:pt idx="0">
                  <c:v>Envasos</c:v>
                </c:pt>
              </c:strCache>
            </c:strRef>
          </c:tx>
          <c:spPr>
            <a:solidFill>
              <a:srgbClr val="4bacc6"/>
            </a:solidFill>
            <a:ln>
              <a:noFill/>
            </a:ln>
          </c:spPr>
          <c:invertIfNegative val="0"/>
          <c:dLbls>
            <c:showLegendKey val="0"/>
            <c:showVal val="0"/>
            <c:showCatName val="0"/>
            <c:showSerName val="0"/>
            <c:showPercent val="0"/>
            <c:showLeaderLines val="0"/>
          </c:dLbls>
          <c:cat>
            <c:strRef>
              <c:f>'T. PAES'!$B$227:$G$227</c:f>
              <c:strCache>
                <c:ptCount val="6"/>
                <c:pt idx="0">
                  <c:v>2005</c:v>
                </c:pt>
                <c:pt idx="1">
                  <c:v>2006</c:v>
                </c:pt>
                <c:pt idx="2">
                  <c:v>2007</c:v>
                </c:pt>
                <c:pt idx="3">
                  <c:v>2008</c:v>
                </c:pt>
                <c:pt idx="4">
                  <c:v>2009</c:v>
                </c:pt>
                <c:pt idx="5">
                  <c:v>2010</c:v>
                </c:pt>
              </c:strCache>
            </c:strRef>
          </c:cat>
          <c:val>
            <c:numRef>
              <c:f>'T. PAES'!$B$232:$G$232</c:f>
              <c:numCache>
                <c:formatCode>General</c:formatCode>
                <c:ptCount val="6"/>
                <c:pt idx="0">
                  <c:v>-29.9155752539429</c:v>
                </c:pt>
                <c:pt idx="1">
                  <c:v>-42.4593581241998</c:v>
                </c:pt>
                <c:pt idx="2">
                  <c:v>-50.0788613410233</c:v>
                </c:pt>
                <c:pt idx="3">
                  <c:v>-60.9138557025078</c:v>
                </c:pt>
                <c:pt idx="4">
                  <c:v>-75.6517825629408</c:v>
                </c:pt>
                <c:pt idx="5">
                  <c:v>-81.4817563393378</c:v>
                </c:pt>
              </c:numCache>
            </c:numRef>
          </c:val>
        </c:ser>
        <c:ser>
          <c:idx val="1"/>
          <c:order val="1"/>
          <c:tx>
            <c:strRef>
              <c:f>'T. PAES'!$A$231</c:f>
              <c:strCache>
                <c:ptCount val="1"/>
                <c:pt idx="0">
                  <c:v>Vidre</c:v>
                </c:pt>
              </c:strCache>
            </c:strRef>
          </c:tx>
          <c:spPr>
            <a:solidFill>
              <a:srgbClr val="8064a2"/>
            </a:solidFill>
            <a:ln>
              <a:noFill/>
            </a:ln>
          </c:spPr>
          <c:invertIfNegative val="0"/>
          <c:dLbls>
            <c:showLegendKey val="0"/>
            <c:showVal val="0"/>
            <c:showCatName val="0"/>
            <c:showSerName val="0"/>
            <c:showPercent val="0"/>
            <c:showLeaderLines val="0"/>
          </c:dLbls>
          <c:cat>
            <c:strRef>
              <c:f>'T. PAES'!$B$227:$G$227</c:f>
              <c:strCache>
                <c:ptCount val="6"/>
                <c:pt idx="0">
                  <c:v>2005</c:v>
                </c:pt>
                <c:pt idx="1">
                  <c:v>2006</c:v>
                </c:pt>
                <c:pt idx="2">
                  <c:v>2007</c:v>
                </c:pt>
                <c:pt idx="3">
                  <c:v>2008</c:v>
                </c:pt>
                <c:pt idx="4">
                  <c:v>2009</c:v>
                </c:pt>
                <c:pt idx="5">
                  <c:v>2010</c:v>
                </c:pt>
              </c:strCache>
            </c:strRef>
          </c:cat>
          <c:val>
            <c:numRef>
              <c:f>'T. PAES'!$B$231:$G$231</c:f>
              <c:numCache>
                <c:formatCode>General</c:formatCode>
                <c:ptCount val="6"/>
                <c:pt idx="0">
                  <c:v>-226.97304</c:v>
                </c:pt>
                <c:pt idx="1">
                  <c:v>-270.29952</c:v>
                </c:pt>
                <c:pt idx="2">
                  <c:v>-265.53</c:v>
                </c:pt>
                <c:pt idx="3">
                  <c:v>-291.07432</c:v>
                </c:pt>
                <c:pt idx="4">
                  <c:v>-296.17784</c:v>
                </c:pt>
                <c:pt idx="5">
                  <c:v>-278.590068</c:v>
                </c:pt>
              </c:numCache>
            </c:numRef>
          </c:val>
        </c:ser>
        <c:ser>
          <c:idx val="2"/>
          <c:order val="2"/>
          <c:tx>
            <c:strRef>
              <c:f>'T. PAES'!$A$230</c:f>
              <c:strCache>
                <c:ptCount val="1"/>
                <c:pt idx="0">
                  <c:v>Paper-cartró</c:v>
                </c:pt>
              </c:strCache>
            </c:strRef>
          </c:tx>
          <c:spPr>
            <a:solidFill>
              <a:srgbClr val="9bbb59"/>
            </a:solidFill>
            <a:ln>
              <a:noFill/>
            </a:ln>
          </c:spPr>
          <c:invertIfNegative val="0"/>
          <c:dLbls>
            <c:showLegendKey val="0"/>
            <c:showVal val="0"/>
            <c:showCatName val="0"/>
            <c:showSerName val="0"/>
            <c:showPercent val="0"/>
            <c:showLeaderLines val="0"/>
          </c:dLbls>
          <c:cat>
            <c:strRef>
              <c:f>'T. PAES'!$B$227:$G$227</c:f>
              <c:strCache>
                <c:ptCount val="6"/>
                <c:pt idx="0">
                  <c:v>2005</c:v>
                </c:pt>
                <c:pt idx="1">
                  <c:v>2006</c:v>
                </c:pt>
                <c:pt idx="2">
                  <c:v>2007</c:v>
                </c:pt>
                <c:pt idx="3">
                  <c:v>2008</c:v>
                </c:pt>
                <c:pt idx="4">
                  <c:v>2009</c:v>
                </c:pt>
                <c:pt idx="5">
                  <c:v>2010</c:v>
                </c:pt>
              </c:strCache>
            </c:strRef>
          </c:cat>
          <c:val>
            <c:numRef>
              <c:f>'T. PAES'!$B$230:$G$230</c:f>
              <c:numCache>
                <c:formatCode>General</c:formatCode>
                <c:ptCount val="6"/>
                <c:pt idx="0">
                  <c:v>-62.2114</c:v>
                </c:pt>
                <c:pt idx="1">
                  <c:v>-74.299375</c:v>
                </c:pt>
                <c:pt idx="2">
                  <c:v>-78.2386</c:v>
                </c:pt>
                <c:pt idx="3">
                  <c:v>-82.4574</c:v>
                </c:pt>
                <c:pt idx="4">
                  <c:v>-77.51727</c:v>
                </c:pt>
                <c:pt idx="5">
                  <c:v>-82.044</c:v>
                </c:pt>
              </c:numCache>
            </c:numRef>
          </c:val>
        </c:ser>
        <c:ser>
          <c:idx val="3"/>
          <c:order val="3"/>
          <c:tx>
            <c:strRef>
              <c:f>'T. PAES'!$A$229</c:f>
              <c:strCache>
                <c:ptCount val="1"/>
                <c:pt idx="0">
                  <c:v>Orgànica</c:v>
                </c:pt>
              </c:strCache>
            </c:strRef>
          </c:tx>
          <c:spPr>
            <a:solidFill>
              <a:srgbClr val="c0504d"/>
            </a:solidFill>
            <a:ln>
              <a:noFill/>
            </a:ln>
          </c:spPr>
          <c:invertIfNegative val="0"/>
          <c:dLbls>
            <c:showLegendKey val="0"/>
            <c:showVal val="0"/>
            <c:showCatName val="0"/>
            <c:showSerName val="0"/>
            <c:showPercent val="0"/>
            <c:showLeaderLines val="0"/>
          </c:dLbls>
          <c:cat>
            <c:strRef>
              <c:f>'T. PAES'!$B$227:$G$227</c:f>
              <c:strCache>
                <c:ptCount val="6"/>
                <c:pt idx="0">
                  <c:v>2005</c:v>
                </c:pt>
                <c:pt idx="1">
                  <c:v>2006</c:v>
                </c:pt>
                <c:pt idx="2">
                  <c:v>2007</c:v>
                </c:pt>
                <c:pt idx="3">
                  <c:v>2008</c:v>
                </c:pt>
                <c:pt idx="4">
                  <c:v>2009</c:v>
                </c:pt>
                <c:pt idx="5">
                  <c:v>2010</c:v>
                </c:pt>
              </c:strCache>
            </c:strRef>
          </c:cat>
          <c:val>
            <c:numRef>
              <c:f>'T. PAES'!$B$229:$G$229</c:f>
              <c:numCache>
                <c:formatCode>General</c:formatCode>
                <c:ptCount val="6"/>
                <c:pt idx="0">
                  <c:v>0</c:v>
                </c:pt>
                <c:pt idx="1">
                  <c:v>0</c:v>
                </c:pt>
                <c:pt idx="2">
                  <c:v>0</c:v>
                </c:pt>
                <c:pt idx="3">
                  <c:v>0</c:v>
                </c:pt>
                <c:pt idx="4">
                  <c:v>16.5952</c:v>
                </c:pt>
                <c:pt idx="5">
                  <c:v>14.2848</c:v>
                </c:pt>
              </c:numCache>
            </c:numRef>
          </c:val>
        </c:ser>
        <c:ser>
          <c:idx val="4"/>
          <c:order val="4"/>
          <c:tx>
            <c:strRef>
              <c:f>'T. PAES'!$A$228</c:f>
              <c:strCache>
                <c:ptCount val="1"/>
                <c:pt idx="0">
                  <c:v>Rebuig</c:v>
                </c:pt>
              </c:strCache>
            </c:strRef>
          </c:tx>
          <c:spPr>
            <a:solidFill>
              <a:srgbClr val="4f81bd"/>
            </a:solidFill>
            <a:ln>
              <a:noFill/>
            </a:ln>
          </c:spPr>
          <c:invertIfNegative val="0"/>
          <c:dLbls>
            <c:showLegendKey val="0"/>
            <c:showVal val="0"/>
            <c:showCatName val="0"/>
            <c:showSerName val="0"/>
            <c:showPercent val="0"/>
            <c:showLeaderLines val="0"/>
          </c:dLbls>
          <c:cat>
            <c:strRef>
              <c:f>'T. PAES'!$B$227:$G$227</c:f>
              <c:strCache>
                <c:ptCount val="6"/>
                <c:pt idx="0">
                  <c:v>2005</c:v>
                </c:pt>
                <c:pt idx="1">
                  <c:v>2006</c:v>
                </c:pt>
                <c:pt idx="2">
                  <c:v>2007</c:v>
                </c:pt>
                <c:pt idx="3">
                  <c:v>2008</c:v>
                </c:pt>
                <c:pt idx="4">
                  <c:v>2009</c:v>
                </c:pt>
                <c:pt idx="5">
                  <c:v>2010</c:v>
                </c:pt>
              </c:strCache>
            </c:strRef>
          </c:cat>
          <c:val>
            <c:numRef>
              <c:f>'T. PAES'!$B$228:$G$228</c:f>
              <c:numCache>
                <c:formatCode>General</c:formatCode>
                <c:ptCount val="6"/>
                <c:pt idx="0">
                  <c:v>9048.437186</c:v>
                </c:pt>
                <c:pt idx="1">
                  <c:v>9625.773085</c:v>
                </c:pt>
                <c:pt idx="2">
                  <c:v>10612.669609</c:v>
                </c:pt>
                <c:pt idx="3">
                  <c:v>9415.46337</c:v>
                </c:pt>
                <c:pt idx="4">
                  <c:v>8440.1826</c:v>
                </c:pt>
                <c:pt idx="5">
                  <c:v>8461.751813</c:v>
                </c:pt>
              </c:numCache>
            </c:numRef>
          </c:val>
        </c:ser>
        <c:gapWidth val="150"/>
        <c:overlap val="100"/>
        <c:axId val="23685180"/>
        <c:axId val="6059613"/>
      </c:barChart>
      <c:catAx>
        <c:axId val="23685180"/>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059613"/>
        <c:crosses val="autoZero"/>
        <c:auto val="1"/>
        <c:lblAlgn val="ctr"/>
        <c:lblOffset val="100"/>
      </c:catAx>
      <c:valAx>
        <c:axId val="6059613"/>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residus</a:t>
                </a:r>
              </a:p>
            </c:rich>
          </c:tx>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23685180"/>
        <c:crosses val="autoZero"/>
        <c:crossBetween val="midCat"/>
      </c:valAx>
      <c:spPr>
        <a:solidFill>
          <a:srgbClr val="ffffff"/>
        </a:solidFill>
        <a:ln>
          <a:noFill/>
        </a:ln>
      </c:spPr>
    </c:plotArea>
    <c:legend>
      <c:layout>
        <c:manualLayout>
          <c:xMode val="edge"/>
          <c:yMode val="edge"/>
          <c:x val="0.81719641401793"/>
          <c:y val="0.258535784635588"/>
        </c:manualLayout>
      </c:layout>
      <c:spPr>
        <a:noFill/>
        <a:ln>
          <a:noFill/>
        </a:ln>
      </c:spPr>
    </c:legend>
    <c:plotVisOnly val="1"/>
    <c:dispBlanksAs val="gap"/>
  </c:chart>
  <c:spPr>
    <a:solidFill>
      <a:srgbClr val="ffffff"/>
    </a:solidFill>
    <a:ln>
      <a:noFill/>
    </a:ln>
  </c:spPr>
</c:chartSpace>
</file>

<file path=xl/charts/chart65.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clustered"/>
        <c:varyColors val="0"/>
        <c:ser>
          <c:idx val="0"/>
          <c:order val="0"/>
          <c:tx>
            <c:strRef>
              <c:f>'T. PAES'!$A$243</c:f>
              <c:strCache>
                <c:ptCount val="1"/>
                <c:pt idx="0">
                  <c:v>Aigua extreta</c:v>
                </c:pt>
              </c:strCache>
            </c:strRef>
          </c:tx>
          <c:spPr>
            <a:solidFill>
              <a:srgbClr val="4f81bd"/>
            </a:solidFill>
            <a:ln>
              <a:noFill/>
            </a:ln>
          </c:spPr>
          <c:invertIfNegative val="0"/>
          <c:dLbls>
            <c:showLegendKey val="0"/>
            <c:showVal val="0"/>
            <c:showCatName val="0"/>
            <c:showSerName val="0"/>
            <c:showPercent val="0"/>
            <c:showLeaderLines val="0"/>
          </c:dLbls>
          <c:cat>
            <c:strRef>
              <c:f>'T. PAES'!$B$242:$G$242</c:f>
              <c:strCache>
                <c:ptCount val="6"/>
                <c:pt idx="0">
                  <c:v>2005</c:v>
                </c:pt>
                <c:pt idx="1">
                  <c:v>2006</c:v>
                </c:pt>
                <c:pt idx="2">
                  <c:v>2007</c:v>
                </c:pt>
                <c:pt idx="3">
                  <c:v>2008</c:v>
                </c:pt>
                <c:pt idx="4">
                  <c:v>2009</c:v>
                </c:pt>
                <c:pt idx="5">
                  <c:v>2010</c:v>
                </c:pt>
              </c:strCache>
            </c:strRef>
          </c:cat>
          <c:val>
            <c:numRef>
              <c:f>'T. PAES'!$B$243:$G$243</c:f>
              <c:numCache>
                <c:formatCode>General</c:formatCode>
                <c:ptCount val="6"/>
                <c:pt idx="0">
                  <c:v>1211031</c:v>
                </c:pt>
                <c:pt idx="1">
                  <c:v>1342384</c:v>
                </c:pt>
                <c:pt idx="2">
                  <c:v>1359954</c:v>
                </c:pt>
                <c:pt idx="3">
                  <c:v>1436430</c:v>
                </c:pt>
                <c:pt idx="4">
                  <c:v>1435784</c:v>
                </c:pt>
                <c:pt idx="5">
                  <c:v>1429273</c:v>
                </c:pt>
              </c:numCache>
            </c:numRef>
          </c:val>
        </c:ser>
        <c:ser>
          <c:idx val="1"/>
          <c:order val="1"/>
          <c:tx>
            <c:strRef>
              <c:f>'T. PAES'!$A$244</c:f>
              <c:strCache>
                <c:ptCount val="1"/>
                <c:pt idx="0">
                  <c:v>Aigua facturada</c:v>
                </c:pt>
              </c:strCache>
            </c:strRef>
          </c:tx>
          <c:spPr>
            <a:solidFill>
              <a:srgbClr val="c0504d"/>
            </a:solidFill>
            <a:ln>
              <a:noFill/>
            </a:ln>
          </c:spPr>
          <c:invertIfNegative val="0"/>
          <c:dLbls>
            <c:showLegendKey val="0"/>
            <c:showVal val="0"/>
            <c:showCatName val="0"/>
            <c:showSerName val="0"/>
            <c:showPercent val="0"/>
            <c:showLeaderLines val="0"/>
          </c:dLbls>
          <c:cat>
            <c:strRef>
              <c:f>'T. PAES'!$B$242:$G$242</c:f>
              <c:strCache>
                <c:ptCount val="6"/>
                <c:pt idx="0">
                  <c:v>2005</c:v>
                </c:pt>
                <c:pt idx="1">
                  <c:v>2006</c:v>
                </c:pt>
                <c:pt idx="2">
                  <c:v>2007</c:v>
                </c:pt>
                <c:pt idx="3">
                  <c:v>2008</c:v>
                </c:pt>
                <c:pt idx="4">
                  <c:v>2009</c:v>
                </c:pt>
                <c:pt idx="5">
                  <c:v>2010</c:v>
                </c:pt>
              </c:strCache>
            </c:strRef>
          </c:cat>
          <c:val>
            <c:numRef>
              <c:f>'T. PAES'!$B$244:$G$244</c:f>
              <c:numCache>
                <c:formatCode>General</c:formatCode>
                <c:ptCount val="6"/>
                <c:pt idx="0">
                  <c:v>932324</c:v>
                </c:pt>
                <c:pt idx="1">
                  <c:v>971304</c:v>
                </c:pt>
                <c:pt idx="2">
                  <c:v>970410</c:v>
                </c:pt>
                <c:pt idx="3">
                  <c:v>973736</c:v>
                </c:pt>
                <c:pt idx="4">
                  <c:v>972584</c:v>
                </c:pt>
                <c:pt idx="5">
                  <c:v>968173</c:v>
                </c:pt>
              </c:numCache>
            </c:numRef>
          </c:val>
        </c:ser>
        <c:ser>
          <c:idx val="2"/>
          <c:order val="2"/>
          <c:tx>
            <c:strRef>
              <c:f>'T. PAES'!$A$245</c:f>
              <c:strCache>
                <c:ptCount val="1"/>
                <c:pt idx="0">
                  <c:v>Pèrdues</c:v>
                </c:pt>
              </c:strCache>
            </c:strRef>
          </c:tx>
          <c:spPr>
            <a:solidFill>
              <a:srgbClr val="9bbb59"/>
            </a:solidFill>
            <a:ln>
              <a:noFill/>
            </a:ln>
          </c:spPr>
          <c:invertIfNegative val="0"/>
          <c:dLbls>
            <c:showLegendKey val="0"/>
            <c:showVal val="0"/>
            <c:showCatName val="0"/>
            <c:showSerName val="0"/>
            <c:showPercent val="0"/>
            <c:showLeaderLines val="0"/>
          </c:dLbls>
          <c:cat>
            <c:strRef>
              <c:f>'T. PAES'!$B$242:$G$242</c:f>
              <c:strCache>
                <c:ptCount val="6"/>
                <c:pt idx="0">
                  <c:v>2005</c:v>
                </c:pt>
                <c:pt idx="1">
                  <c:v>2006</c:v>
                </c:pt>
                <c:pt idx="2">
                  <c:v>2007</c:v>
                </c:pt>
                <c:pt idx="3">
                  <c:v>2008</c:v>
                </c:pt>
                <c:pt idx="4">
                  <c:v>2009</c:v>
                </c:pt>
                <c:pt idx="5">
                  <c:v>2010</c:v>
                </c:pt>
              </c:strCache>
            </c:strRef>
          </c:cat>
          <c:val>
            <c:numRef>
              <c:f>'T. PAES'!$B$245:$G$245</c:f>
              <c:numCache>
                <c:formatCode>General</c:formatCode>
                <c:ptCount val="6"/>
                <c:pt idx="0">
                  <c:v>278707</c:v>
                </c:pt>
                <c:pt idx="1">
                  <c:v>371080</c:v>
                </c:pt>
                <c:pt idx="2">
                  <c:v>389544</c:v>
                </c:pt>
                <c:pt idx="3">
                  <c:v>462694</c:v>
                </c:pt>
                <c:pt idx="4">
                  <c:v>463200</c:v>
                </c:pt>
                <c:pt idx="5">
                  <c:v>461100</c:v>
                </c:pt>
              </c:numCache>
            </c:numRef>
          </c:val>
        </c:ser>
        <c:ser>
          <c:idx val="3"/>
          <c:order val="3"/>
          <c:tx>
            <c:strRef>
              <c:f>'T. PAES'!$A$246</c:f>
              <c:strCache>
                <c:ptCount val="1"/>
                <c:pt idx="0">
                  <c:v>Pèrdues (%)</c:v>
                </c:pt>
              </c:strCache>
            </c:strRef>
          </c:tx>
          <c:spPr>
            <a:solidFill>
              <a:srgbClr val="8064a2"/>
            </a:solidFill>
            <a:ln>
              <a:noFill/>
            </a:ln>
          </c:spPr>
          <c:invertIfNegative val="0"/>
          <c:dLbls>
            <c:showLegendKey val="0"/>
            <c:showVal val="0"/>
            <c:showCatName val="0"/>
            <c:showSerName val="0"/>
            <c:showPercent val="0"/>
            <c:showLeaderLines val="0"/>
          </c:dLbls>
          <c:cat>
            <c:strRef>
              <c:f>'T. PAES'!$B$242:$G$242</c:f>
              <c:strCache>
                <c:ptCount val="6"/>
                <c:pt idx="0">
                  <c:v>2005</c:v>
                </c:pt>
                <c:pt idx="1">
                  <c:v>2006</c:v>
                </c:pt>
                <c:pt idx="2">
                  <c:v>2007</c:v>
                </c:pt>
                <c:pt idx="3">
                  <c:v>2008</c:v>
                </c:pt>
                <c:pt idx="4">
                  <c:v>2009</c:v>
                </c:pt>
                <c:pt idx="5">
                  <c:v>2010</c:v>
                </c:pt>
              </c:strCache>
            </c:strRef>
          </c:cat>
          <c:val>
            <c:numRef>
              <c:f>'T. PAES'!$B$246:$G$246</c:f>
              <c:numCache>
                <c:formatCode>General</c:formatCode>
                <c:ptCount val="6"/>
                <c:pt idx="0">
                  <c:v>0.230140268911366</c:v>
                </c:pt>
                <c:pt idx="1">
                  <c:v>0.276433568934075</c:v>
                </c:pt>
                <c:pt idx="2">
                  <c:v>0.286439100146034</c:v>
                </c:pt>
                <c:pt idx="3">
                  <c:v>0.322113851701789</c:v>
                </c:pt>
                <c:pt idx="4">
                  <c:v>0.322611200570559</c:v>
                </c:pt>
                <c:pt idx="5">
                  <c:v>0.322611565460202</c:v>
                </c:pt>
              </c:numCache>
            </c:numRef>
          </c:val>
        </c:ser>
        <c:gapWidth val="150"/>
        <c:overlap val="0"/>
        <c:axId val="91048465"/>
        <c:axId val="10531703"/>
      </c:barChart>
      <c:catAx>
        <c:axId val="9104846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0531703"/>
        <c:crosses val="autoZero"/>
        <c:auto val="1"/>
        <c:lblAlgn val="ctr"/>
        <c:lblOffset val="100"/>
      </c:catAx>
      <c:valAx>
        <c:axId val="10531703"/>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m3 aigua</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1048465"/>
        <c:crosses val="autoZero"/>
        <c:crossBetween val="midCat"/>
      </c:valAx>
      <c:spPr>
        <a:solidFill>
          <a:srgbClr val="ffffff"/>
        </a:solidFill>
        <a:ln>
          <a:noFill/>
        </a:ln>
      </c:spPr>
    </c:plotArea>
    <c:legend>
      <c:layout>
        <c:manualLayout>
          <c:xMode val="edge"/>
          <c:yMode val="edge"/>
          <c:x val="0.811572942135289"/>
          <c:y val="0.105835806132542"/>
        </c:manualLayout>
      </c:layout>
      <c:spPr>
        <a:noFill/>
        <a:ln>
          <a:noFill/>
        </a:ln>
      </c:spPr>
    </c:legend>
    <c:plotVisOnly val="1"/>
    <c:dispBlanksAs val="gap"/>
  </c:chart>
  <c:spPr>
    <a:solidFill>
      <a:srgbClr val="ffffff"/>
    </a:solidFill>
    <a:ln>
      <a:noFill/>
    </a:ln>
  </c:spPr>
</c:chartSpace>
</file>

<file path=xl/charts/chart66.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 PAES'!$A$275</c:f>
              <c:strCache>
                <c:ptCount val="1"/>
                <c:pt idx="0">
                  <c:v>EDAR</c:v>
                </c:pt>
              </c:strCache>
            </c:strRef>
          </c:tx>
          <c:spPr>
            <a:solidFill>
              <a:srgbClr val="9bbb59"/>
            </a:solidFill>
            <a:ln>
              <a:noFill/>
            </a:ln>
          </c:spPr>
          <c:invertIfNegative val="0"/>
          <c:dLbls>
            <c:showLegendKey val="0"/>
            <c:showVal val="0"/>
            <c:showCatName val="0"/>
            <c:showSerName val="0"/>
            <c:showPercent val="0"/>
            <c:showLeaderLines val="0"/>
          </c:dLbls>
          <c:cat>
            <c:strRef>
              <c:f>'T. PAES'!$B$273:$G$273</c:f>
              <c:strCache>
                <c:ptCount val="6"/>
                <c:pt idx="0">
                  <c:v>2005</c:v>
                </c:pt>
                <c:pt idx="1">
                  <c:v>2006</c:v>
                </c:pt>
                <c:pt idx="2">
                  <c:v>2007</c:v>
                </c:pt>
                <c:pt idx="3">
                  <c:v>2008</c:v>
                </c:pt>
                <c:pt idx="4">
                  <c:v>2009</c:v>
                </c:pt>
                <c:pt idx="5">
                  <c:v>2010</c:v>
                </c:pt>
              </c:strCache>
            </c:strRef>
          </c:cat>
          <c:val>
            <c:numRef>
              <c:f>'T. PAES'!$B$275:$G$275</c:f>
              <c:numCache>
                <c:formatCode>General</c:formatCode>
                <c:ptCount val="6"/>
                <c:pt idx="0">
                  <c:v>364.62474</c:v>
                </c:pt>
                <c:pt idx="1">
                  <c:v>393.45534</c:v>
                </c:pt>
                <c:pt idx="2">
                  <c:v>392.40342</c:v>
                </c:pt>
                <c:pt idx="3">
                  <c:v>412.6086</c:v>
                </c:pt>
                <c:pt idx="4">
                  <c:v>432.03888</c:v>
                </c:pt>
                <c:pt idx="5">
                  <c:v>543.67794</c:v>
                </c:pt>
              </c:numCache>
            </c:numRef>
          </c:val>
        </c:ser>
        <c:ser>
          <c:idx val="1"/>
          <c:order val="1"/>
          <c:tx>
            <c:strRef>
              <c:f>'T. PAES'!$A$274</c:f>
              <c:strCache>
                <c:ptCount val="1"/>
                <c:pt idx="0">
                  <c:v>Bombeig</c:v>
                </c:pt>
              </c:strCache>
            </c:strRef>
          </c:tx>
          <c:spPr>
            <a:solidFill>
              <a:srgbClr val="c0504d"/>
            </a:solidFill>
            <a:ln>
              <a:noFill/>
            </a:ln>
          </c:spPr>
          <c:invertIfNegative val="0"/>
          <c:dLbls>
            <c:showLegendKey val="0"/>
            <c:showVal val="0"/>
            <c:showCatName val="0"/>
            <c:showSerName val="0"/>
            <c:showPercent val="0"/>
            <c:showLeaderLines val="0"/>
          </c:dLbls>
          <c:cat>
            <c:strRef>
              <c:f>'T. PAES'!$B$273:$G$273</c:f>
              <c:strCache>
                <c:ptCount val="6"/>
                <c:pt idx="0">
                  <c:v>2005</c:v>
                </c:pt>
                <c:pt idx="1">
                  <c:v>2006</c:v>
                </c:pt>
                <c:pt idx="2">
                  <c:v>2007</c:v>
                </c:pt>
                <c:pt idx="3">
                  <c:v>2008</c:v>
                </c:pt>
                <c:pt idx="4">
                  <c:v>2009</c:v>
                </c:pt>
                <c:pt idx="5">
                  <c:v>2010</c:v>
                </c:pt>
              </c:strCache>
            </c:strRef>
          </c:cat>
          <c:val>
            <c:numRef>
              <c:f>'T. PAES'!$B$274:$G$274</c:f>
              <c:numCache>
                <c:formatCode>General</c:formatCode>
                <c:ptCount val="6"/>
                <c:pt idx="0">
                  <c:v>5631.29415</c:v>
                </c:pt>
                <c:pt idx="1">
                  <c:v>6282.35712</c:v>
                </c:pt>
                <c:pt idx="2">
                  <c:v>6378.18426</c:v>
                </c:pt>
                <c:pt idx="3">
                  <c:v>6693.7638</c:v>
                </c:pt>
                <c:pt idx="4">
                  <c:v>6891.7632</c:v>
                </c:pt>
                <c:pt idx="5">
                  <c:v>4016.25713</c:v>
                </c:pt>
              </c:numCache>
            </c:numRef>
          </c:val>
        </c:ser>
        <c:gapWidth val="150"/>
        <c:overlap val="100"/>
        <c:axId val="95612404"/>
        <c:axId val="36178099"/>
      </c:barChart>
      <c:catAx>
        <c:axId val="95612404"/>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6178099"/>
        <c:crosses val="autoZero"/>
        <c:auto val="1"/>
        <c:lblAlgn val="ctr"/>
        <c:lblOffset val="100"/>
      </c:catAx>
      <c:valAx>
        <c:axId val="36178099"/>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aigua</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5612404"/>
        <c:crosses val="autoZero"/>
        <c:crossBetween val="midCat"/>
      </c:valAx>
      <c:spPr>
        <a:solidFill>
          <a:srgbClr val="ffffff"/>
        </a:solidFill>
        <a:ln>
          <a:noFill/>
        </a:ln>
      </c:spPr>
    </c:plotArea>
    <c:legend>
      <c:layout>
        <c:manualLayout>
          <c:xMode val="edge"/>
          <c:yMode val="edge"/>
          <c:x val="0.846210268948655"/>
          <c:y val="0.337019310117181"/>
        </c:manualLayout>
      </c:layout>
      <c:spPr>
        <a:noFill/>
        <a:ln>
          <a:noFill/>
        </a:ln>
      </c:spPr>
    </c:legend>
    <c:plotVisOnly val="1"/>
    <c:dispBlanksAs val="gap"/>
  </c:chart>
  <c:spPr>
    <a:solidFill>
      <a:srgbClr val="ffffff"/>
    </a:solidFill>
    <a:ln>
      <a:noFill/>
    </a:ln>
  </c:spPr>
</c:chartSpace>
</file>

<file path=xl/charts/chart67.xml><?xml version="1.0" encoding="utf-8"?>
<c:chartSpace xmlns:c="http://schemas.openxmlformats.org/drawingml/2006/chart" xmlns:a="http://schemas.openxmlformats.org/drawingml/2006/main" xmlns:r="http://schemas.openxmlformats.org/officeDocument/2006/relationships">
  <c:lang val="en-US"/>
  <c:roundedCorners val="0"/>
  <c:chart>
    <c:plotArea>
      <c:lineChart>
        <c:grouping val="standard"/>
        <c:ser>
          <c:idx val="0"/>
          <c:order val="0"/>
          <c:spPr>
            <a:solidFill>
              <a:srgbClr val="4a7ebb"/>
            </a:solidFill>
            <a:ln w="28440">
              <a:solidFill>
                <a:srgbClr val="4a7ebb"/>
              </a:solidFill>
              <a:round/>
            </a:ln>
          </c:spPr>
          <c:marker>
            <c:symbol val="none"/>
          </c:marker>
          <c:dLbls>
            <c:showLegendKey val="0"/>
            <c:showVal val="0"/>
            <c:showCatName val="0"/>
            <c:showSerName val="0"/>
            <c:showPercent val="0"/>
            <c:showLeaderLines val="0"/>
          </c:dLbls>
          <c:cat>
            <c:strRef>
              <c:f>'T. PAES'!$B$78:$G$78</c:f>
              <c:strCache>
                <c:ptCount val="6"/>
                <c:pt idx="0">
                  <c:v>2005</c:v>
                </c:pt>
                <c:pt idx="1">
                  <c:v>2006</c:v>
                </c:pt>
                <c:pt idx="2">
                  <c:v>2007</c:v>
                </c:pt>
                <c:pt idx="3">
                  <c:v>2008</c:v>
                </c:pt>
                <c:pt idx="4">
                  <c:v>2009</c:v>
                </c:pt>
                <c:pt idx="5">
                  <c:v>2010</c:v>
                </c:pt>
              </c:strCache>
            </c:strRef>
          </c:cat>
          <c:val>
            <c:numRef>
              <c:f>'T. PAES'!$B$81:$G$81</c:f>
              <c:numCache>
                <c:formatCode>General</c:formatCode>
                <c:ptCount val="6"/>
                <c:pt idx="0">
                  <c:v>9.82198891462701</c:v>
                </c:pt>
                <c:pt idx="1">
                  <c:v>10.3001667875119</c:v>
                </c:pt>
                <c:pt idx="2">
                  <c:v>9.70972862947408</c:v>
                </c:pt>
                <c:pt idx="3">
                  <c:v>9.18287206337666</c:v>
                </c:pt>
                <c:pt idx="4">
                  <c:v>8.77467772902838</c:v>
                </c:pt>
                <c:pt idx="5">
                  <c:v>8.66889745520674</c:v>
                </c:pt>
              </c:numCache>
            </c:numRef>
          </c:val>
          <c:smooth val="0"/>
        </c:ser>
        <c:hiLowLines>
          <c:spPr>
            <a:ln>
              <a:noFill/>
            </a:ln>
          </c:spPr>
        </c:hiLowLines>
        <c:marker val="0"/>
        <c:axId val="18071705"/>
        <c:axId val="94530995"/>
      </c:lineChart>
      <c:catAx>
        <c:axId val="1807170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94530995"/>
        <c:crosses val="autoZero"/>
        <c:auto val="1"/>
        <c:lblAlgn val="ctr"/>
        <c:lblOffset val="100"/>
      </c:catAx>
      <c:valAx>
        <c:axId val="94530995"/>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per habitant</a:t>
                </a:r>
              </a:p>
            </c:rich>
          </c:tx>
          <c:layout>
            <c:manualLayout>
              <c:xMode val="edge"/>
              <c:yMode val="edge"/>
              <c:x val="0.0150782594443989"/>
              <c:y val="0.210966542750929"/>
            </c:manualLayout>
          </c:layout>
          <c:overlay val="0"/>
        </c:title>
        <c:numFmt formatCode="#,##0" sourceLinked="0"/>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18071705"/>
        <c:crosses val="autoZero"/>
        <c:crossBetween val="midCat"/>
      </c:valAx>
      <c:spPr>
        <a:solidFill>
          <a:srgbClr val="ffffff"/>
        </a:solidFill>
        <a:ln>
          <a:noFill/>
        </a:ln>
      </c:spPr>
    </c:plotArea>
    <c:plotVisOnly val="1"/>
    <c:dispBlanksAs val="gap"/>
  </c:chart>
  <c:spPr>
    <a:solidFill>
      <a:srgbClr val="ffffff"/>
    </a:solidFill>
    <a:ln>
      <a:noFill/>
    </a:ln>
  </c:spPr>
</c:chartSpace>
</file>

<file path=xl/charts/chart6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 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PAES'!$A$22:$A$27</c:f>
              <c:strCache>
                <c:ptCount val="5"/>
                <c:pt idx="0">
                  <c:v>EE</c:v>
                </c:pt>
                <c:pt idx="1">
                  <c:v>GLP</c:v>
                </c:pt>
                <c:pt idx="2">
                  <c:v>Gasoil</c:v>
                </c:pt>
                <c:pt idx="3">
                  <c:v>Gasolina</c:v>
                </c:pt>
                <c:pt idx="4">
                  <c:v>Fueloil</c:v>
                </c:pt>
              </c:strCache>
            </c:strRef>
          </c:cat>
          <c:val>
            <c:numRef>
              <c:f>'T. PAES'!$B$22:$B$27</c:f>
              <c:numCache>
                <c:formatCode>General</c:formatCode>
                <c:ptCount val="5"/>
                <c:pt idx="0">
                  <c:v>72850.7405019298</c:v>
                </c:pt>
                <c:pt idx="1">
                  <c:v>10421.5682052401</c:v>
                </c:pt>
                <c:pt idx="2">
                  <c:v>100177.851280179</c:v>
                </c:pt>
                <c:pt idx="3">
                  <c:v>34836.8314454196</c:v>
                </c:pt>
                <c:pt idx="4">
                  <c:v>0.29968439949787</c:v>
                </c:pt>
              </c:numCache>
            </c:numRef>
          </c:val>
        </c:ser>
      </c:pie3DChart>
      <c:spPr>
        <a:solidFill>
          <a:srgbClr val="d9d9d9"/>
        </a:solidFill>
        <a:ln>
          <a:noFill/>
        </a:ln>
      </c:spPr>
    </c:plotArea>
    <c:legend>
      <c:layout>
        <c:manualLayout>
          <c:xMode val="edge"/>
          <c:yMode val="edge"/>
          <c:x val="0.772199225530778"/>
          <c:y val="0.270518358531317"/>
        </c:manualLayout>
      </c:layout>
      <c:spPr>
        <a:noFill/>
        <a:ln>
          <a:noFill/>
        </a:ln>
      </c:spPr>
    </c:legend>
    <c:plotVisOnly val="1"/>
    <c:dispBlanksAs val="zero"/>
  </c:chart>
  <c:spPr>
    <a:solidFill>
      <a:srgbClr val="ffffff"/>
    </a:solidFill>
    <a:ln>
      <a:noFill/>
    </a:ln>
  </c:spPr>
</c:chartSpace>
</file>

<file path=xl/charts/chart6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PAES'!$A$22:$A$27</c:f>
              <c:strCache>
                <c:ptCount val="5"/>
                <c:pt idx="0">
                  <c:v>EE</c:v>
                </c:pt>
                <c:pt idx="1">
                  <c:v>GLP</c:v>
                </c:pt>
                <c:pt idx="2">
                  <c:v>Gasoil</c:v>
                </c:pt>
                <c:pt idx="3">
                  <c:v>Gasolina</c:v>
                </c:pt>
                <c:pt idx="4">
                  <c:v>Fueloil</c:v>
                </c:pt>
              </c:strCache>
            </c:strRef>
          </c:cat>
          <c:val>
            <c:numRef>
              <c:f>'T. PAES'!$F$22:$F$27</c:f>
              <c:numCache>
                <c:formatCode>General</c:formatCode>
                <c:ptCount val="5"/>
                <c:pt idx="0">
                  <c:v>76942.1031615051</c:v>
                </c:pt>
                <c:pt idx="1">
                  <c:v>8361.11718081349</c:v>
                </c:pt>
                <c:pt idx="2">
                  <c:v>107717.016298789</c:v>
                </c:pt>
                <c:pt idx="3">
                  <c:v>31985.7961396805</c:v>
                </c:pt>
                <c:pt idx="4">
                  <c:v>0</c:v>
                </c:pt>
              </c:numCache>
            </c:numRef>
          </c:val>
        </c:ser>
      </c:pie3DChart>
      <c:spPr>
        <a:solidFill>
          <a:srgbClr val="d9d9d9"/>
        </a:solidFill>
        <a:ln>
          <a:noFill/>
        </a:ln>
      </c:spPr>
    </c:plotArea>
    <c:legend>
      <c:layout>
        <c:manualLayout>
          <c:xMode val="edge"/>
          <c:yMode val="edge"/>
          <c:x val="0.786987041036717"/>
          <c:y val="0.270518358531317"/>
        </c:manualLayout>
      </c:layout>
      <c:spPr>
        <a:noFill/>
        <a:ln>
          <a:noFill/>
        </a:ln>
      </c:spPr>
    </c:legend>
    <c:plotVisOnly val="1"/>
    <c:dispBlanksAs val="zero"/>
  </c:chart>
  <c:spPr>
    <a:solidFill>
      <a:srgbClr val="ffffff"/>
    </a:solidFill>
    <a:ln>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32586558044806"/>
          <c:y val="0.0645539906103286"/>
          <c:w val="0.526354378818737"/>
          <c:h val="0.76307847082495"/>
        </c:manualLayout>
      </c:layout>
      <c:barChart>
        <c:barDir val="col"/>
        <c:grouping val="stacked"/>
        <c:varyColors val="0"/>
        <c:ser>
          <c:idx val="0"/>
          <c:order val="0"/>
          <c:tx>
            <c:strRef>
              <c:f>'T. MUNICIPI'!$A$140</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MUNICIPI'!$B$136:$G$136</c:f>
              <c:strCache>
                <c:ptCount val="6"/>
                <c:pt idx="0">
                  <c:v>2005</c:v>
                </c:pt>
                <c:pt idx="1">
                  <c:v>2006</c:v>
                </c:pt>
                <c:pt idx="2">
                  <c:v>2007</c:v>
                </c:pt>
                <c:pt idx="3">
                  <c:v>2008</c:v>
                </c:pt>
                <c:pt idx="4">
                  <c:v>2009</c:v>
                </c:pt>
                <c:pt idx="5">
                  <c:v>2010</c:v>
                </c:pt>
              </c:strCache>
            </c:strRef>
          </c:cat>
          <c:val>
            <c:numRef>
              <c:f>'T. MUNICIPI'!$B$140:$G$140</c:f>
              <c:numCache>
                <c:formatCode>General</c:formatCode>
                <c:ptCount val="6"/>
                <c:pt idx="0">
                  <c:v>3382.60694765981</c:v>
                </c:pt>
                <c:pt idx="1">
                  <c:v>3014.6934302017</c:v>
                </c:pt>
                <c:pt idx="2">
                  <c:v>2968.66958320958</c:v>
                </c:pt>
                <c:pt idx="3">
                  <c:v>3369.97199612655</c:v>
                </c:pt>
                <c:pt idx="4">
                  <c:v>0</c:v>
                </c:pt>
                <c:pt idx="5">
                  <c:v>0</c:v>
                </c:pt>
              </c:numCache>
            </c:numRef>
          </c:val>
        </c:ser>
        <c:ser>
          <c:idx val="1"/>
          <c:order val="1"/>
          <c:tx>
            <c:strRef>
              <c:f>'T. MUNICIPI'!$A$139</c:f>
              <c:strCache>
                <c:ptCount val="1"/>
                <c:pt idx="0">
                  <c:v>Gasoil</c:v>
                </c:pt>
              </c:strCache>
            </c:strRef>
          </c:tx>
          <c:spPr>
            <a:solidFill>
              <a:srgbClr val="4bacc6"/>
            </a:solidFill>
            <a:ln>
              <a:noFill/>
            </a:ln>
          </c:spPr>
          <c:invertIfNegative val="0"/>
          <c:dLbls>
            <c:showLegendKey val="0"/>
            <c:showVal val="0"/>
            <c:showCatName val="0"/>
            <c:showSerName val="0"/>
            <c:showPercent val="0"/>
            <c:showLeaderLines val="0"/>
          </c:dLbls>
          <c:cat>
            <c:strRef>
              <c:f>'T. MUNICIPI'!$B$136:$G$136</c:f>
              <c:strCache>
                <c:ptCount val="6"/>
                <c:pt idx="0">
                  <c:v>2005</c:v>
                </c:pt>
                <c:pt idx="1">
                  <c:v>2006</c:v>
                </c:pt>
                <c:pt idx="2">
                  <c:v>2007</c:v>
                </c:pt>
                <c:pt idx="3">
                  <c:v>2008</c:v>
                </c:pt>
                <c:pt idx="4">
                  <c:v>2009</c:v>
                </c:pt>
                <c:pt idx="5">
                  <c:v>2010</c:v>
                </c:pt>
              </c:strCache>
            </c:strRef>
          </c:cat>
          <c:val>
            <c:numRef>
              <c:f>'T. MUNICIPI'!$B$139:$G$139</c:f>
              <c:numCache>
                <c:formatCode>General</c:formatCode>
                <c:ptCount val="6"/>
                <c:pt idx="0">
                  <c:v>9058.92768938543</c:v>
                </c:pt>
                <c:pt idx="1">
                  <c:v>10998.6635843776</c:v>
                </c:pt>
                <c:pt idx="2">
                  <c:v>12064.7892356538</c:v>
                </c:pt>
                <c:pt idx="3">
                  <c:v>10570.9658564363</c:v>
                </c:pt>
                <c:pt idx="4">
                  <c:v>9768.84146780733</c:v>
                </c:pt>
                <c:pt idx="5">
                  <c:v>7732.75877791344</c:v>
                </c:pt>
              </c:numCache>
            </c:numRef>
          </c:val>
        </c:ser>
        <c:ser>
          <c:idx val="2"/>
          <c:order val="2"/>
          <c:tx>
            <c:strRef>
              <c:f>'T. MUNICIPI'!$A$138</c:f>
              <c:strCache>
                <c:ptCount val="1"/>
                <c:pt idx="0">
                  <c:v>GLP</c:v>
                </c:pt>
              </c:strCache>
            </c:strRef>
          </c:tx>
          <c:spPr>
            <a:solidFill>
              <a:srgbClr val="8064a2"/>
            </a:solidFill>
            <a:ln>
              <a:noFill/>
            </a:ln>
          </c:spPr>
          <c:invertIfNegative val="0"/>
          <c:dLbls>
            <c:showLegendKey val="0"/>
            <c:showVal val="0"/>
            <c:showCatName val="0"/>
            <c:showSerName val="0"/>
            <c:showPercent val="0"/>
            <c:showLeaderLines val="0"/>
          </c:dLbls>
          <c:cat>
            <c:strRef>
              <c:f>'T. MUNICIPI'!$B$136:$G$136</c:f>
              <c:strCache>
                <c:ptCount val="6"/>
                <c:pt idx="0">
                  <c:v>2005</c:v>
                </c:pt>
                <c:pt idx="1">
                  <c:v>2006</c:v>
                </c:pt>
                <c:pt idx="2">
                  <c:v>2007</c:v>
                </c:pt>
                <c:pt idx="3">
                  <c:v>2008</c:v>
                </c:pt>
                <c:pt idx="4">
                  <c:v>2009</c:v>
                </c:pt>
                <c:pt idx="5">
                  <c:v>2010</c:v>
                </c:pt>
              </c:strCache>
            </c:strRef>
          </c:cat>
          <c:val>
            <c:numRef>
              <c:f>'T. MUNICIPI'!$B$138:$G$138</c:f>
              <c:numCache>
                <c:formatCode>General</c:formatCode>
                <c:ptCount val="6"/>
                <c:pt idx="0">
                  <c:v>493.693830596128</c:v>
                </c:pt>
                <c:pt idx="1">
                  <c:v>464.551091032312</c:v>
                </c:pt>
                <c:pt idx="2">
                  <c:v>448.082663228898</c:v>
                </c:pt>
                <c:pt idx="3">
                  <c:v>434.316074630335</c:v>
                </c:pt>
                <c:pt idx="4">
                  <c:v>413.569281112564</c:v>
                </c:pt>
                <c:pt idx="5">
                  <c:v>386.67336420061</c:v>
                </c:pt>
              </c:numCache>
            </c:numRef>
          </c:val>
        </c:ser>
        <c:ser>
          <c:idx val="3"/>
          <c:order val="3"/>
          <c:tx>
            <c:strRef>
              <c:f>'T. MUNICIPI'!$A$137</c:f>
              <c:strCache>
                <c:ptCount val="1"/>
                <c:pt idx="0">
                  <c:v>EE</c:v>
                </c:pt>
              </c:strCache>
            </c:strRef>
          </c:tx>
          <c:spPr>
            <a:solidFill>
              <a:srgbClr val="c0504d"/>
            </a:solidFill>
            <a:ln>
              <a:noFill/>
            </a:ln>
          </c:spPr>
          <c:invertIfNegative val="0"/>
          <c:dLbls>
            <c:showLegendKey val="0"/>
            <c:showVal val="0"/>
            <c:showCatName val="0"/>
            <c:showSerName val="0"/>
            <c:showPercent val="0"/>
            <c:showLeaderLines val="0"/>
          </c:dLbls>
          <c:cat>
            <c:strRef>
              <c:f>'T. MUNICIPI'!$B$136:$G$136</c:f>
              <c:strCache>
                <c:ptCount val="6"/>
                <c:pt idx="0">
                  <c:v>2005</c:v>
                </c:pt>
                <c:pt idx="1">
                  <c:v>2006</c:v>
                </c:pt>
                <c:pt idx="2">
                  <c:v>2007</c:v>
                </c:pt>
                <c:pt idx="3">
                  <c:v>2008</c:v>
                </c:pt>
                <c:pt idx="4">
                  <c:v>2009</c:v>
                </c:pt>
                <c:pt idx="5">
                  <c:v>2010</c:v>
                </c:pt>
              </c:strCache>
            </c:strRef>
          </c:cat>
          <c:val>
            <c:numRef>
              <c:f>'T. MUNICIPI'!$B$137:$G$137</c:f>
              <c:numCache>
                <c:formatCode>General</c:formatCode>
                <c:ptCount val="6"/>
                <c:pt idx="0">
                  <c:v>3803.70324535224</c:v>
                </c:pt>
                <c:pt idx="1">
                  <c:v>3888.11042445165</c:v>
                </c:pt>
                <c:pt idx="2">
                  <c:v>4048.68521128514</c:v>
                </c:pt>
                <c:pt idx="3">
                  <c:v>3662.50656185774</c:v>
                </c:pt>
                <c:pt idx="4">
                  <c:v>3326.1667030197</c:v>
                </c:pt>
                <c:pt idx="5">
                  <c:v>3091.51155812907</c:v>
                </c:pt>
              </c:numCache>
            </c:numRef>
          </c:val>
        </c:ser>
        <c:gapWidth val="150"/>
        <c:overlap val="100"/>
        <c:axId val="44132386"/>
        <c:axId val="38503422"/>
      </c:barChart>
      <c:catAx>
        <c:axId val="44132386"/>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38503422"/>
        <c:crosses val="autoZero"/>
        <c:auto val="1"/>
        <c:lblAlgn val="ctr"/>
        <c:lblOffset val="100"/>
      </c:catAx>
      <c:valAx>
        <c:axId val="38503422"/>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sector industrial</a:t>
                </a:r>
              </a:p>
            </c:rich>
          </c:tx>
          <c:overlay val="0"/>
        </c:title>
        <c:numFmt formatCode="#,##0" sourceLinked="0"/>
        <c:majorTickMark val="none"/>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44132386"/>
        <c:crosses val="autoZero"/>
        <c:crossBetween val="midCat"/>
      </c:valAx>
      <c:spPr>
        <a:solidFill>
          <a:srgbClr val="ffffff"/>
        </a:solidFill>
        <a:ln>
          <a:noFill/>
        </a:ln>
      </c:spPr>
    </c:plotArea>
    <c:legend>
      <c:layout>
        <c:manualLayout>
          <c:xMode val="edge"/>
          <c:yMode val="edge"/>
          <c:x val="0.847820773930754"/>
          <c:y val="0.155097250167673"/>
        </c:manualLayout>
      </c:layout>
      <c:spPr>
        <a:noFill/>
        <a:ln>
          <a:noFill/>
        </a:ln>
      </c:spPr>
    </c:legend>
    <c:plotVisOnly val="1"/>
    <c:dispBlanksAs val="gap"/>
  </c:chart>
  <c:spPr>
    <a:solidFill>
      <a:srgbClr val="ffffff"/>
    </a:solidFill>
    <a:ln>
      <a:noFill/>
    </a:ln>
  </c:spPr>
</c:chartSpace>
</file>

<file path=xl/charts/chart7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layout>
        <c:manualLayout>
          <c:xMode val="edge"/>
          <c:yMode val="edge"/>
          <c:x val="0.308273721149953"/>
          <c:y val="0.043174143753015"/>
        </c:manualLayout>
      </c:layout>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PAES'!$A$37:$A$42</c:f>
              <c:strCache>
                <c:ptCount val="5"/>
                <c:pt idx="0">
                  <c:v>EE</c:v>
                </c:pt>
                <c:pt idx="1">
                  <c:v>GLP</c:v>
                </c:pt>
                <c:pt idx="2">
                  <c:v>Gasoil</c:v>
                </c:pt>
                <c:pt idx="3">
                  <c:v>Gasolina</c:v>
                </c:pt>
                <c:pt idx="4">
                  <c:v>Fueloil</c:v>
                </c:pt>
              </c:strCache>
            </c:strRef>
          </c:cat>
          <c:val>
            <c:numRef>
              <c:f>'T. PAES'!$B$37:$B$42</c:f>
              <c:numCache>
                <c:formatCode>General</c:formatCode>
                <c:ptCount val="5"/>
                <c:pt idx="0">
                  <c:v>61471.4548355284</c:v>
                </c:pt>
                <c:pt idx="1">
                  <c:v>2782.55871079912</c:v>
                </c:pt>
                <c:pt idx="2">
                  <c:v>26747.4862918079</c:v>
                </c:pt>
                <c:pt idx="3">
                  <c:v>8674.37102990949</c:v>
                </c:pt>
                <c:pt idx="4">
                  <c:v>0.0836119474599058</c:v>
                </c:pt>
              </c:numCache>
            </c:numRef>
          </c:val>
        </c:ser>
      </c:pie3DChart>
      <c:spPr>
        <a:solidFill>
          <a:srgbClr val="d9d9d9"/>
        </a:solidFill>
        <a:ln>
          <a:noFill/>
        </a:ln>
      </c:spPr>
    </c:plotArea>
    <c:legend>
      <c:layout>
        <c:manualLayout>
          <c:xMode val="edge"/>
          <c:yMode val="edge"/>
          <c:x val="0.747604265083007"/>
          <c:y val="0.271828268210323"/>
        </c:manualLayout>
      </c:layout>
      <c:spPr>
        <a:noFill/>
        <a:ln>
          <a:noFill/>
        </a:ln>
      </c:spPr>
    </c:legend>
    <c:plotVisOnly val="1"/>
    <c:dispBlanksAs val="zero"/>
  </c:chart>
  <c:spPr>
    <a:solidFill>
      <a:srgbClr val="ffffff"/>
    </a:solidFill>
    <a:ln>
      <a:noFill/>
    </a:ln>
  </c:spPr>
</c:chartSpace>
</file>

<file path=xl/charts/chart7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PAES'!$A$37:$A$42</c:f>
              <c:strCache>
                <c:ptCount val="5"/>
                <c:pt idx="0">
                  <c:v>EE</c:v>
                </c:pt>
                <c:pt idx="1">
                  <c:v>GLP</c:v>
                </c:pt>
                <c:pt idx="2">
                  <c:v>Gasoil</c:v>
                </c:pt>
                <c:pt idx="3">
                  <c:v>Gasolina</c:v>
                </c:pt>
                <c:pt idx="4">
                  <c:v>Fueloil</c:v>
                </c:pt>
              </c:strCache>
            </c:strRef>
          </c:cat>
          <c:val>
            <c:numRef>
              <c:f>'T. PAES'!$F$37:$F$42</c:f>
              <c:numCache>
                <c:formatCode>General</c:formatCode>
                <c:ptCount val="5"/>
                <c:pt idx="0">
                  <c:v>65254.5976912725</c:v>
                </c:pt>
                <c:pt idx="1">
                  <c:v>2232.4182872772</c:v>
                </c:pt>
                <c:pt idx="2">
                  <c:v>28760.4433517767</c:v>
                </c:pt>
                <c:pt idx="3">
                  <c:v>7964.46323878046</c:v>
                </c:pt>
                <c:pt idx="4">
                  <c:v>0</c:v>
                </c:pt>
              </c:numCache>
            </c:numRef>
          </c:val>
        </c:ser>
      </c:pie3DChart>
      <c:spPr>
        <a:solidFill>
          <a:srgbClr val="d9d9d9"/>
        </a:solidFill>
        <a:ln>
          <a:noFill/>
        </a:ln>
      </c:spPr>
    </c:plotArea>
    <c:legend>
      <c:layout>
        <c:manualLayout>
          <c:xMode val="edge"/>
          <c:yMode val="edge"/>
          <c:x val="0.791933760683761"/>
          <c:y val="0.130246020260492"/>
        </c:manualLayout>
      </c:layout>
      <c:spPr>
        <a:noFill/>
        <a:ln>
          <a:noFill/>
        </a:ln>
      </c:spPr>
    </c:legend>
    <c:plotVisOnly val="1"/>
    <c:dispBlanksAs val="zero"/>
  </c:chart>
  <c:spPr>
    <a:solidFill>
      <a:srgbClr val="ffffff"/>
    </a:solidFill>
    <a:ln>
      <a:noFill/>
    </a:ln>
  </c:spPr>
</c:chartSpace>
</file>

<file path=xl/charts/chart7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PAES'!$A$53:$A$56</c:f>
              <c:strCache>
                <c:ptCount val="4"/>
                <c:pt idx="0">
                  <c:v>Serveis</c:v>
                </c:pt>
                <c:pt idx="1">
                  <c:v>Domèstic</c:v>
                </c:pt>
                <c:pt idx="2">
                  <c:v>Transport</c:v>
                </c:pt>
                <c:pt idx="3">
                  <c:v>Aigua</c:v>
                </c:pt>
              </c:strCache>
            </c:strRef>
          </c:cat>
          <c:val>
            <c:numRef>
              <c:f>'T. PAES'!$B$53:$B$56</c:f>
              <c:numCache>
                <c:formatCode>General</c:formatCode>
                <c:ptCount val="4"/>
                <c:pt idx="0">
                  <c:v>53048.5724228357</c:v>
                </c:pt>
                <c:pt idx="1">
                  <c:v>72157.5889450002</c:v>
                </c:pt>
                <c:pt idx="2">
                  <c:v>87085.2108593324</c:v>
                </c:pt>
                <c:pt idx="3">
                  <c:v>5995.91889</c:v>
                </c:pt>
              </c:numCache>
            </c:numRef>
          </c:val>
        </c:ser>
      </c:pie3DChart>
      <c:spPr>
        <a:solidFill>
          <a:srgbClr val="d9d9d9"/>
        </a:solidFill>
        <a:ln>
          <a:noFill/>
        </a:ln>
      </c:spPr>
    </c:plotArea>
    <c:legend>
      <c:layout>
        <c:manualLayout>
          <c:xMode val="edge"/>
          <c:yMode val="edge"/>
          <c:x val="0.676744499932514"/>
          <c:y val="0.0675381263616558"/>
        </c:manualLayout>
      </c:layout>
      <c:spPr>
        <a:noFill/>
        <a:ln>
          <a:noFill/>
        </a:ln>
      </c:spPr>
    </c:legend>
    <c:plotVisOnly val="1"/>
    <c:dispBlanksAs val="zero"/>
  </c:chart>
  <c:spPr>
    <a:solidFill>
      <a:srgbClr val="ffffff"/>
    </a:solidFill>
    <a:ln>
      <a:noFill/>
    </a:ln>
  </c:spPr>
</c:chartSpace>
</file>

<file path=xl/charts/chart7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PAES'!$A$53:$A$56</c:f>
              <c:strCache>
                <c:ptCount val="4"/>
                <c:pt idx="0">
                  <c:v>Serveis</c:v>
                </c:pt>
                <c:pt idx="1">
                  <c:v>Domèstic</c:v>
                </c:pt>
                <c:pt idx="2">
                  <c:v>Transport</c:v>
                </c:pt>
                <c:pt idx="3">
                  <c:v>Aigua</c:v>
                </c:pt>
              </c:strCache>
            </c:strRef>
          </c:cat>
          <c:val>
            <c:numRef>
              <c:f>'T. PAES'!$F$53:$F$56</c:f>
              <c:numCache>
                <c:formatCode>General</c:formatCode>
                <c:ptCount val="4"/>
                <c:pt idx="0">
                  <c:v>54258.8961833933</c:v>
                </c:pt>
                <c:pt idx="1">
                  <c:v>74107.3940507986</c:v>
                </c:pt>
                <c:pt idx="2">
                  <c:v>89315.9404665966</c:v>
                </c:pt>
                <c:pt idx="3">
                  <c:v>7323.80208</c:v>
                </c:pt>
              </c:numCache>
            </c:numRef>
          </c:val>
        </c:ser>
      </c:pie3DChart>
      <c:spPr>
        <a:solidFill>
          <a:srgbClr val="d9d9d9"/>
        </a:solidFill>
        <a:ln>
          <a:noFill/>
        </a:ln>
      </c:spPr>
    </c:plotArea>
    <c:legend>
      <c:layout>
        <c:manualLayout>
          <c:xMode val="edge"/>
          <c:yMode val="edge"/>
          <c:x val="0.676816239316239"/>
          <c:y val="0.0832244008714597"/>
        </c:manualLayout>
      </c:layout>
      <c:spPr>
        <a:noFill/>
        <a:ln>
          <a:noFill/>
        </a:ln>
      </c:spPr>
    </c:legend>
    <c:plotVisOnly val="1"/>
    <c:dispBlanksAs val="zero"/>
  </c:chart>
  <c:spPr>
    <a:solidFill>
      <a:srgbClr val="ffffff"/>
    </a:solidFill>
    <a:ln>
      <a:noFill/>
    </a:ln>
  </c:spPr>
</c:chartSpace>
</file>

<file path=xl/charts/chart7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PAES'!$A$66:$A$70</c:f>
              <c:strCache>
                <c:ptCount val="5"/>
                <c:pt idx="0">
                  <c:v>Serveis</c:v>
                </c:pt>
                <c:pt idx="1">
                  <c:v>Domèstic</c:v>
                </c:pt>
                <c:pt idx="2">
                  <c:v>Transport</c:v>
                </c:pt>
                <c:pt idx="3">
                  <c:v>Residus</c:v>
                </c:pt>
                <c:pt idx="4">
                  <c:v>Aigua</c:v>
                </c:pt>
              </c:strCache>
            </c:strRef>
          </c:cat>
          <c:val>
            <c:numRef>
              <c:f>'T. PAES'!$B$66:$B$70</c:f>
              <c:numCache>
                <c:formatCode>General</c:formatCode>
                <c:ptCount val="5"/>
                <c:pt idx="0">
                  <c:v>27448.431240471</c:v>
                </c:pt>
                <c:pt idx="1">
                  <c:v>44543.4785467151</c:v>
                </c:pt>
                <c:pt idx="2">
                  <c:v>22624.6883334242</c:v>
                </c:pt>
                <c:pt idx="3">
                  <c:v>8729.33717074606</c:v>
                </c:pt>
                <c:pt idx="4">
                  <c:v>5059.356359382</c:v>
                </c:pt>
              </c:numCache>
            </c:numRef>
          </c:val>
        </c:ser>
      </c:pie3DChart>
      <c:spPr>
        <a:solidFill>
          <a:srgbClr val="d9d9d9"/>
        </a:solidFill>
        <a:ln>
          <a:noFill/>
        </a:ln>
      </c:spPr>
    </c:plotArea>
    <c:legend>
      <c:layout>
        <c:manualLayout>
          <c:xMode val="edge"/>
          <c:yMode val="edge"/>
          <c:x val="0.676744499932514"/>
          <c:y val="0.0675528437568098"/>
        </c:manualLayout>
      </c:layout>
      <c:spPr>
        <a:noFill/>
        <a:ln>
          <a:noFill/>
        </a:ln>
      </c:spPr>
    </c:legend>
    <c:plotVisOnly val="1"/>
    <c:dispBlanksAs val="zero"/>
  </c:chart>
  <c:spPr>
    <a:solidFill>
      <a:srgbClr val="ffffff"/>
    </a:solidFill>
    <a:ln>
      <a:noFill/>
    </a:ln>
  </c:spPr>
</c:chartSpace>
</file>

<file path=xl/charts/chart7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PAES'!$A$66:$A$70</c:f>
              <c:strCache>
                <c:ptCount val="5"/>
                <c:pt idx="0">
                  <c:v>Serveis</c:v>
                </c:pt>
                <c:pt idx="1">
                  <c:v>Domèstic</c:v>
                </c:pt>
                <c:pt idx="2">
                  <c:v>Transport</c:v>
                </c:pt>
                <c:pt idx="3">
                  <c:v>Residus</c:v>
                </c:pt>
                <c:pt idx="4">
                  <c:v>Aigua</c:v>
                </c:pt>
              </c:strCache>
            </c:strRef>
          </c:cat>
          <c:val>
            <c:numRef>
              <c:f>'T. PAES'!$F$66:$F$70</c:f>
              <c:numCache>
                <c:formatCode>General</c:formatCode>
                <c:ptCount val="5"/>
                <c:pt idx="0">
                  <c:v>28197.3349089287</c:v>
                </c:pt>
                <c:pt idx="1">
                  <c:v>46531.6593420632</c:v>
                </c:pt>
                <c:pt idx="2">
                  <c:v>23271.611774067</c:v>
                </c:pt>
                <c:pt idx="3">
                  <c:v>8007.43090743706</c:v>
                </c:pt>
                <c:pt idx="4">
                  <c:v>6211.316544048</c:v>
                </c:pt>
              </c:numCache>
            </c:numRef>
          </c:val>
        </c:ser>
      </c:pie3DChart>
      <c:spPr>
        <a:solidFill>
          <a:srgbClr val="d9d9d9"/>
        </a:solidFill>
        <a:ln>
          <a:noFill/>
        </a:ln>
      </c:spPr>
    </c:plotArea>
    <c:legend>
      <c:layout>
        <c:manualLayout>
          <c:xMode val="edge"/>
          <c:yMode val="edge"/>
          <c:x val="0.676816239316239"/>
          <c:y val="0.0594900849858357"/>
        </c:manualLayout>
      </c:layout>
      <c:spPr>
        <a:noFill/>
        <a:ln>
          <a:noFill/>
        </a:ln>
      </c:spPr>
    </c:legend>
    <c:plotVisOnly val="1"/>
    <c:dispBlanksAs val="zero"/>
  </c:chart>
  <c:spPr>
    <a:solidFill>
      <a:srgbClr val="ffffff"/>
    </a:solidFill>
    <a:ln>
      <a:noFill/>
    </a:ln>
  </c:spPr>
</c:chartSpace>
</file>

<file path=xl/charts/chart7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PAES'!$A$96:$A$100</c:f>
              <c:strCache>
                <c:ptCount val="4"/>
                <c:pt idx="0">
                  <c:v>EE</c:v>
                </c:pt>
                <c:pt idx="1">
                  <c:v>GLP</c:v>
                </c:pt>
                <c:pt idx="2">
                  <c:v>Gasoil</c:v>
                </c:pt>
                <c:pt idx="3">
                  <c:v>Fueloil</c:v>
                </c:pt>
              </c:strCache>
            </c:strRef>
          </c:cat>
          <c:val>
            <c:numRef>
              <c:f>'T. PAES'!$B$96:$B$100</c:f>
              <c:numCache>
                <c:formatCode>General</c:formatCode>
                <c:ptCount val="4"/>
                <c:pt idx="0">
                  <c:v>23031.3086119298</c:v>
                </c:pt>
                <c:pt idx="1">
                  <c:v>3224.71862712682</c:v>
                </c:pt>
                <c:pt idx="2">
                  <c:v>26792.2454993796</c:v>
                </c:pt>
                <c:pt idx="3">
                  <c:v>0.29968439949787</c:v>
                </c:pt>
              </c:numCache>
            </c:numRef>
          </c:val>
        </c:ser>
      </c:pie3DChart>
      <c:spPr>
        <a:solidFill>
          <a:srgbClr val="d9d9d9"/>
        </a:solidFill>
        <a:ln>
          <a:noFill/>
        </a:ln>
      </c:spPr>
    </c:plotArea>
    <c:legend>
      <c:layout>
        <c:manualLayout>
          <c:xMode val="edge"/>
          <c:yMode val="edge"/>
          <c:x val="0.771733261339093"/>
          <c:y val="0.17329132331556"/>
        </c:manualLayout>
      </c:layout>
      <c:spPr>
        <a:noFill/>
        <a:ln>
          <a:noFill/>
        </a:ln>
      </c:spPr>
    </c:legend>
    <c:plotVisOnly val="1"/>
    <c:dispBlanksAs val="zero"/>
  </c:chart>
  <c:spPr>
    <a:solidFill>
      <a:srgbClr val="ffffff"/>
    </a:solidFill>
    <a:ln>
      <a:noFill/>
    </a:ln>
  </c:spPr>
</c:chartSpace>
</file>

<file path=xl/charts/chart7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PAES'!$A$96:$A$100</c:f>
              <c:strCache>
                <c:ptCount val="4"/>
                <c:pt idx="0">
                  <c:v>EE</c:v>
                </c:pt>
                <c:pt idx="1">
                  <c:v>GLP</c:v>
                </c:pt>
                <c:pt idx="2">
                  <c:v>Gasoil</c:v>
                </c:pt>
                <c:pt idx="3">
                  <c:v>Fueloil</c:v>
                </c:pt>
              </c:strCache>
            </c:strRef>
          </c:cat>
          <c:val>
            <c:numRef>
              <c:f>'T. PAES'!$F$96:$F$100</c:f>
              <c:numCache>
                <c:formatCode>General</c:formatCode>
                <c:ptCount val="4"/>
                <c:pt idx="0">
                  <c:v>23593.5460815052</c:v>
                </c:pt>
                <c:pt idx="1">
                  <c:v>3072.77941342631</c:v>
                </c:pt>
                <c:pt idx="2">
                  <c:v>27592.5706884618</c:v>
                </c:pt>
                <c:pt idx="3">
                  <c:v>0</c:v>
                </c:pt>
              </c:numCache>
            </c:numRef>
          </c:val>
        </c:ser>
      </c:pie3DChart>
      <c:spPr>
        <a:solidFill>
          <a:srgbClr val="d9d9d9"/>
        </a:solidFill>
        <a:ln>
          <a:noFill/>
        </a:ln>
      </c:spPr>
    </c:plotArea>
    <c:legend>
      <c:layout>
        <c:manualLayout>
          <c:xMode val="edge"/>
          <c:yMode val="edge"/>
          <c:x val="0.776575854700855"/>
          <c:y val="0.13402811439651"/>
        </c:manualLayout>
      </c:layout>
      <c:spPr>
        <a:noFill/>
        <a:ln>
          <a:noFill/>
        </a:ln>
      </c:spPr>
    </c:legend>
    <c:plotVisOnly val="1"/>
    <c:dispBlanksAs val="zero"/>
  </c:chart>
  <c:spPr>
    <a:solidFill>
      <a:srgbClr val="ffffff"/>
    </a:solidFill>
    <a:ln>
      <a:noFill/>
    </a:ln>
  </c:spPr>
</c:chartSpace>
</file>

<file path=xl/charts/chart7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PAES'!$A$110:$A$114</c:f>
              <c:strCache>
                <c:ptCount val="4"/>
                <c:pt idx="0">
                  <c:v>EE</c:v>
                </c:pt>
                <c:pt idx="1">
                  <c:v>GLP</c:v>
                </c:pt>
                <c:pt idx="2">
                  <c:v>Gasoil</c:v>
                </c:pt>
                <c:pt idx="3">
                  <c:v>Fueloil</c:v>
                </c:pt>
              </c:strCache>
            </c:strRef>
          </c:cat>
          <c:val>
            <c:numRef>
              <c:f>'T. PAES'!$B$110:$B$114</c:f>
              <c:numCache>
                <c:formatCode>General</c:formatCode>
                <c:ptCount val="4"/>
                <c:pt idx="0">
                  <c:v>19433.8182067464</c:v>
                </c:pt>
                <c:pt idx="1">
                  <c:v>860.999873442862</c:v>
                </c:pt>
                <c:pt idx="2">
                  <c:v>7153.52954833435</c:v>
                </c:pt>
                <c:pt idx="3">
                  <c:v>0.0836119474599058</c:v>
                </c:pt>
              </c:numCache>
            </c:numRef>
          </c:val>
        </c:ser>
      </c:pie3DChart>
      <c:spPr>
        <a:solidFill>
          <a:srgbClr val="d9d9d9"/>
        </a:solidFill>
        <a:ln>
          <a:noFill/>
        </a:ln>
      </c:spPr>
    </c:plotArea>
    <c:legend>
      <c:layout>
        <c:manualLayout>
          <c:xMode val="edge"/>
          <c:yMode val="edge"/>
          <c:x val="0.771733261339093"/>
          <c:y val="0.2472647702407"/>
        </c:manualLayout>
      </c:layout>
      <c:spPr>
        <a:noFill/>
        <a:ln>
          <a:noFill/>
        </a:ln>
      </c:spPr>
    </c:legend>
    <c:plotVisOnly val="1"/>
    <c:dispBlanksAs val="zero"/>
  </c:chart>
  <c:spPr>
    <a:solidFill>
      <a:srgbClr val="ffffff"/>
    </a:solidFill>
    <a:ln>
      <a:noFill/>
    </a:ln>
  </c:spPr>
</c:chartSpace>
</file>

<file path=xl/charts/chart7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Pos val="bestFit"/>
            <c:showLegendKey val="0"/>
            <c:showVal val="0"/>
            <c:showCatName val="0"/>
            <c:showSerName val="0"/>
            <c:showPercent val="1"/>
            <c:showLeaderLines val="0"/>
          </c:dLbls>
          <c:cat>
            <c:strRef>
              <c:f>'T. PAES'!$A$110:$A$114</c:f>
              <c:strCache>
                <c:ptCount val="4"/>
                <c:pt idx="0">
                  <c:v>EE</c:v>
                </c:pt>
                <c:pt idx="1">
                  <c:v>GLP</c:v>
                </c:pt>
                <c:pt idx="2">
                  <c:v>Gasoil</c:v>
                </c:pt>
                <c:pt idx="3">
                  <c:v>Fueloil</c:v>
                </c:pt>
              </c:strCache>
            </c:strRef>
          </c:cat>
          <c:val>
            <c:numRef>
              <c:f>'T. PAES'!$F$110:$F$114</c:f>
              <c:numCache>
                <c:formatCode>General</c:formatCode>
                <c:ptCount val="4"/>
                <c:pt idx="0">
                  <c:v>20009.6864317245</c:v>
                </c:pt>
                <c:pt idx="1">
                  <c:v>820.432103384826</c:v>
                </c:pt>
                <c:pt idx="2">
                  <c:v>7367.21637381931</c:v>
                </c:pt>
                <c:pt idx="3">
                  <c:v>0</c:v>
                </c:pt>
              </c:numCache>
            </c:numRef>
          </c:val>
        </c:ser>
      </c:pie3DChart>
      <c:spPr>
        <a:solidFill>
          <a:srgbClr val="d9d9d9"/>
        </a:solidFill>
        <a:ln>
          <a:noFill/>
        </a:ln>
      </c:spPr>
    </c:plotArea>
    <c:legend>
      <c:layout>
        <c:manualLayout>
          <c:xMode val="edge"/>
          <c:yMode val="edge"/>
          <c:x val="0.781517094017094"/>
          <c:y val="0.231461220520301"/>
        </c:manualLayout>
      </c:layout>
      <c:spPr>
        <a:noFill/>
        <a:ln>
          <a:noFill/>
        </a:ln>
      </c:spPr>
    </c:legend>
    <c:plotVisOnly val="1"/>
    <c:dispBlanksAs val="zero"/>
  </c:chart>
  <c:spPr>
    <a:solidFill>
      <a:srgbClr val="ffffff"/>
    </a:solidFill>
    <a:ln>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5132382892057"/>
          <c:y val="0.0726708074534162"/>
          <c:w val="0.561140529531568"/>
          <c:h val="0.733850931677019"/>
        </c:manualLayout>
      </c:layout>
      <c:barChart>
        <c:barDir val="col"/>
        <c:grouping val="stacked"/>
        <c:varyColors val="0"/>
        <c:ser>
          <c:idx val="0"/>
          <c:order val="0"/>
          <c:tx>
            <c:strRef>
              <c:f>'T. MUNICIPI'!$A$149</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MUNICIPI'!$B$145:$G$145</c:f>
              <c:strCache>
                <c:ptCount val="6"/>
                <c:pt idx="0">
                  <c:v>2005</c:v>
                </c:pt>
                <c:pt idx="1">
                  <c:v>2006</c:v>
                </c:pt>
                <c:pt idx="2">
                  <c:v>2007</c:v>
                </c:pt>
                <c:pt idx="3">
                  <c:v>2008</c:v>
                </c:pt>
                <c:pt idx="4">
                  <c:v>2009</c:v>
                </c:pt>
                <c:pt idx="5">
                  <c:v>2010</c:v>
                </c:pt>
              </c:strCache>
            </c:strRef>
          </c:cat>
          <c:val>
            <c:numRef>
              <c:f>'T. MUNICIPI'!$B$149:$G$149</c:f>
              <c:numCache>
                <c:formatCode>General</c:formatCode>
                <c:ptCount val="6"/>
                <c:pt idx="0">
                  <c:v>943.830950344547</c:v>
                </c:pt>
                <c:pt idx="1">
                  <c:v>841.181680611108</c:v>
                </c:pt>
                <c:pt idx="2">
                  <c:v>828.347182767713</c:v>
                </c:pt>
                <c:pt idx="3">
                  <c:v>940.322499310876</c:v>
                </c:pt>
                <c:pt idx="4">
                  <c:v>0</c:v>
                </c:pt>
                <c:pt idx="5">
                  <c:v>0</c:v>
                </c:pt>
              </c:numCache>
            </c:numRef>
          </c:val>
        </c:ser>
        <c:ser>
          <c:idx val="1"/>
          <c:order val="1"/>
          <c:tx>
            <c:strRef>
              <c:f>'T. MUNICIPI'!$A$148</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MUNICIPI'!$B$145:$G$145</c:f>
              <c:strCache>
                <c:ptCount val="6"/>
                <c:pt idx="0">
                  <c:v>2005</c:v>
                </c:pt>
                <c:pt idx="1">
                  <c:v>2006</c:v>
                </c:pt>
                <c:pt idx="2">
                  <c:v>2007</c:v>
                </c:pt>
                <c:pt idx="3">
                  <c:v>2008</c:v>
                </c:pt>
                <c:pt idx="4">
                  <c:v>2009</c:v>
                </c:pt>
                <c:pt idx="5">
                  <c:v>2010</c:v>
                </c:pt>
              </c:strCache>
            </c:strRef>
          </c:cat>
          <c:val>
            <c:numRef>
              <c:f>'T. MUNICIPI'!$B$148:$G$148</c:f>
              <c:numCache>
                <c:formatCode>General</c:formatCode>
                <c:ptCount val="6"/>
                <c:pt idx="0">
                  <c:v>2418.73369306591</c:v>
                </c:pt>
                <c:pt idx="1">
                  <c:v>2936.64317702881</c:v>
                </c:pt>
                <c:pt idx="2">
                  <c:v>3221.29872591956</c:v>
                </c:pt>
                <c:pt idx="3">
                  <c:v>2822.44788366849</c:v>
                </c:pt>
                <c:pt idx="4">
                  <c:v>2608.28067190456</c:v>
                </c:pt>
                <c:pt idx="5">
                  <c:v>2064.64659370289</c:v>
                </c:pt>
              </c:numCache>
            </c:numRef>
          </c:val>
        </c:ser>
        <c:ser>
          <c:idx val="2"/>
          <c:order val="2"/>
          <c:tx>
            <c:strRef>
              <c:f>'T. MUNICIPI'!$A$147</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MUNICIPI'!$B$145:$G$145</c:f>
              <c:strCache>
                <c:ptCount val="6"/>
                <c:pt idx="0">
                  <c:v>2005</c:v>
                </c:pt>
                <c:pt idx="1">
                  <c:v>2006</c:v>
                </c:pt>
                <c:pt idx="2">
                  <c:v>2007</c:v>
                </c:pt>
                <c:pt idx="3">
                  <c:v>2008</c:v>
                </c:pt>
                <c:pt idx="4">
                  <c:v>2009</c:v>
                </c:pt>
                <c:pt idx="5">
                  <c:v>2010</c:v>
                </c:pt>
              </c:strCache>
            </c:strRef>
          </c:cat>
          <c:val>
            <c:numRef>
              <c:f>'T. MUNICIPI'!$B$147:$G$147</c:f>
              <c:numCache>
                <c:formatCode>General</c:formatCode>
                <c:ptCount val="6"/>
                <c:pt idx="0">
                  <c:v>131.816252769166</c:v>
                </c:pt>
                <c:pt idx="1">
                  <c:v>124.035141305627</c:v>
                </c:pt>
                <c:pt idx="2">
                  <c:v>119.638071082116</c:v>
                </c:pt>
                <c:pt idx="3">
                  <c:v>115.9623919263</c:v>
                </c:pt>
                <c:pt idx="4">
                  <c:v>110.422998057055</c:v>
                </c:pt>
                <c:pt idx="5">
                  <c:v>103.241788241563</c:v>
                </c:pt>
              </c:numCache>
            </c:numRef>
          </c:val>
        </c:ser>
        <c:ser>
          <c:idx val="3"/>
          <c:order val="3"/>
          <c:tx>
            <c:strRef>
              <c:f>'T. MUNICIPI'!$A$146</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MUNICIPI'!$B$145:$G$145</c:f>
              <c:strCache>
                <c:ptCount val="6"/>
                <c:pt idx="0">
                  <c:v>2005</c:v>
                </c:pt>
                <c:pt idx="1">
                  <c:v>2006</c:v>
                </c:pt>
                <c:pt idx="2">
                  <c:v>2007</c:v>
                </c:pt>
                <c:pt idx="3">
                  <c:v>2008</c:v>
                </c:pt>
                <c:pt idx="4">
                  <c:v>2009</c:v>
                </c:pt>
                <c:pt idx="5">
                  <c:v>2010</c:v>
                </c:pt>
              </c:strCache>
            </c:strRef>
          </c:cat>
          <c:val>
            <c:numRef>
              <c:f>'T. MUNICIPI'!$B$146:$G$146</c:f>
              <c:numCache>
                <c:formatCode>General</c:formatCode>
                <c:ptCount val="6"/>
                <c:pt idx="0">
                  <c:v>3209.56479842822</c:v>
                </c:pt>
                <c:pt idx="1">
                  <c:v>3531.95950957188</c:v>
                </c:pt>
                <c:pt idx="2">
                  <c:v>3324.37542698623</c:v>
                </c:pt>
                <c:pt idx="3">
                  <c:v>3029.62542796873</c:v>
                </c:pt>
                <c:pt idx="4">
                  <c:v>2820.92198083101</c:v>
                </c:pt>
                <c:pt idx="5">
                  <c:v>2621.91095244926</c:v>
                </c:pt>
              </c:numCache>
            </c:numRef>
          </c:val>
        </c:ser>
        <c:gapWidth val="150"/>
        <c:overlap val="100"/>
        <c:axId val="85999162"/>
        <c:axId val="30008266"/>
      </c:barChart>
      <c:catAx>
        <c:axId val="85999162"/>
        <c:scaling>
          <c:orientation val="minMax"/>
        </c:scaling>
        <c:delete val="0"/>
        <c:axPos val="b"/>
        <c:numFmt formatCode="General" sourceLinked="1"/>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0008266"/>
        <c:crosses val="autoZero"/>
        <c:auto val="1"/>
        <c:lblAlgn val="ctr"/>
        <c:lblOffset val="100"/>
      </c:catAx>
      <c:valAx>
        <c:axId val="3000826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sector industrial</a:t>
                </a:r>
              </a:p>
            </c:rich>
          </c:tx>
          <c:layout>
            <c:manualLayout>
              <c:xMode val="edge"/>
              <c:yMode val="edge"/>
              <c:x val="0.0367413441955193"/>
              <c:y val="0.208074534161491"/>
            </c:manualLayout>
          </c:layout>
          <c:overlay val="0"/>
        </c:title>
        <c:numFmt formatCode="#,##0" sourceLinked="0"/>
        <c:majorTickMark val="none"/>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5999162"/>
        <c:crosses val="autoZero"/>
        <c:crossBetween val="midCat"/>
      </c:valAx>
      <c:spPr>
        <a:solidFill>
          <a:srgbClr val="ffffff"/>
        </a:solidFill>
        <a:ln>
          <a:noFill/>
        </a:ln>
      </c:spPr>
    </c:plotArea>
    <c:legend>
      <c:layout>
        <c:manualLayout>
          <c:xMode val="edge"/>
          <c:yMode val="edge"/>
          <c:x val="0.844236252545825"/>
          <c:y val="0.112732919254658"/>
        </c:manualLayout>
      </c:layout>
      <c:spPr>
        <a:noFill/>
        <a:ln>
          <a:noFill/>
        </a:ln>
      </c:spPr>
    </c:legend>
    <c:plotVisOnly val="1"/>
    <c:dispBlanksAs val="gap"/>
  </c:chart>
  <c:spPr>
    <a:solidFill>
      <a:srgbClr val="ffffff"/>
    </a:solidFill>
    <a:ln>
      <a:noFill/>
    </a:ln>
  </c:spPr>
</c:chartSpace>
</file>

<file path=xl/charts/chart8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 PAES'!$A$124:$A$127</c:f>
              <c:strCache>
                <c:ptCount val="3"/>
                <c:pt idx="0">
                  <c:v>EE</c:v>
                </c:pt>
                <c:pt idx="1">
                  <c:v>GLP</c:v>
                </c:pt>
                <c:pt idx="2">
                  <c:v>Gasoil</c:v>
                </c:pt>
              </c:strCache>
            </c:strRef>
          </c:cat>
          <c:val>
            <c:numRef>
              <c:f>'T. PAES'!$B$124:$B$127</c:f>
              <c:numCache>
                <c:formatCode>General</c:formatCode>
                <c:ptCount val="3"/>
                <c:pt idx="0">
                  <c:v>43823.513</c:v>
                </c:pt>
                <c:pt idx="1">
                  <c:v>7196.84957811331</c:v>
                </c:pt>
                <c:pt idx="2">
                  <c:v>21137.2263668869</c:v>
                </c:pt>
              </c:numCache>
            </c:numRef>
          </c:val>
        </c:ser>
      </c:pie3DChart>
      <c:spPr>
        <a:solidFill>
          <a:srgbClr val="d9d9d9"/>
        </a:solidFill>
        <a:ln>
          <a:noFill/>
        </a:ln>
      </c:spPr>
    </c:plotArea>
    <c:legend>
      <c:layout>
        <c:manualLayout>
          <c:xMode val="edge"/>
          <c:yMode val="edge"/>
          <c:x val="0.747030237580993"/>
          <c:y val="0.259019426456984"/>
        </c:manualLayout>
      </c:layout>
      <c:spPr>
        <a:noFill/>
        <a:ln>
          <a:noFill/>
        </a:ln>
      </c:spPr>
    </c:legend>
    <c:plotVisOnly val="1"/>
    <c:dispBlanksAs val="zero"/>
  </c:chart>
  <c:spPr>
    <a:solidFill>
      <a:srgbClr val="ffffff"/>
    </a:solidFill>
    <a:ln>
      <a:noFill/>
    </a:ln>
  </c:spPr>
</c:chartSpace>
</file>

<file path=xl/charts/chart8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 PAES'!$A$124:$A$127</c:f>
              <c:strCache>
                <c:ptCount val="3"/>
                <c:pt idx="0">
                  <c:v>EE</c:v>
                </c:pt>
                <c:pt idx="1">
                  <c:v>GLP</c:v>
                </c:pt>
                <c:pt idx="2">
                  <c:v>Gasoil</c:v>
                </c:pt>
              </c:strCache>
            </c:strRef>
          </c:cat>
          <c:val>
            <c:numRef>
              <c:f>'T. PAES'!$F$124:$F$127</c:f>
              <c:numCache>
                <c:formatCode>General</c:formatCode>
                <c:ptCount val="3"/>
                <c:pt idx="0">
                  <c:v>46024.755</c:v>
                </c:pt>
                <c:pt idx="1">
                  <c:v>5288.33776738717</c:v>
                </c:pt>
                <c:pt idx="2">
                  <c:v>22794.3012834114</c:v>
                </c:pt>
              </c:numCache>
            </c:numRef>
          </c:val>
        </c:ser>
      </c:pie3DChart>
      <c:spPr>
        <a:solidFill>
          <a:srgbClr val="d9d9d9"/>
        </a:solidFill>
        <a:ln>
          <a:noFill/>
        </a:ln>
      </c:spPr>
    </c:plotArea>
    <c:legend>
      <c:layout>
        <c:manualLayout>
          <c:xMode val="edge"/>
          <c:yMode val="edge"/>
          <c:x val="0.747061965811966"/>
          <c:y val="0.250925069380204"/>
        </c:manualLayout>
      </c:layout>
      <c:spPr>
        <a:noFill/>
        <a:ln>
          <a:noFill/>
        </a:ln>
      </c:spPr>
    </c:legend>
    <c:plotVisOnly val="1"/>
    <c:dispBlanksAs val="zero"/>
  </c:chart>
  <c:spPr>
    <a:solidFill>
      <a:srgbClr val="ffffff"/>
    </a:solidFill>
    <a:ln>
      <a:noFill/>
    </a:ln>
  </c:spPr>
</c:chartSpace>
</file>

<file path=xl/charts/chart8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 PAES'!$A$139:$A$142</c:f>
              <c:strCache>
                <c:ptCount val="3"/>
                <c:pt idx="0">
                  <c:v>EE</c:v>
                </c:pt>
                <c:pt idx="1">
                  <c:v>GLP</c:v>
                </c:pt>
                <c:pt idx="2">
                  <c:v>Gasoil</c:v>
                </c:pt>
              </c:strCache>
            </c:strRef>
          </c:cat>
          <c:val>
            <c:numRef>
              <c:f>'T. PAES'!$B$139:$B$142</c:f>
              <c:numCache>
                <c:formatCode>General</c:formatCode>
                <c:ptCount val="3"/>
                <c:pt idx="0">
                  <c:v>36978.2802694</c:v>
                </c:pt>
                <c:pt idx="1">
                  <c:v>1921.55883735625</c:v>
                </c:pt>
                <c:pt idx="2">
                  <c:v>5643.63943995881</c:v>
                </c:pt>
              </c:numCache>
            </c:numRef>
          </c:val>
        </c:ser>
      </c:pie3DChart>
      <c:spPr>
        <a:solidFill>
          <a:srgbClr val="d9d9d9"/>
        </a:solidFill>
        <a:ln>
          <a:noFill/>
        </a:ln>
      </c:spPr>
    </c:plotArea>
    <c:legend>
      <c:layout>
        <c:manualLayout>
          <c:xMode val="edge"/>
          <c:yMode val="edge"/>
          <c:x val="0.756884449244061"/>
          <c:y val="0.258169934640523"/>
        </c:manualLayout>
      </c:layout>
      <c:spPr>
        <a:noFill/>
        <a:ln>
          <a:noFill/>
        </a:ln>
      </c:spPr>
    </c:legend>
    <c:plotVisOnly val="1"/>
    <c:dispBlanksAs val="zero"/>
  </c:chart>
  <c:spPr>
    <a:solidFill>
      <a:srgbClr val="ffffff"/>
    </a:solidFill>
    <a:ln>
      <a:noFill/>
    </a:ln>
  </c:spPr>
</c:chartSpace>
</file>

<file path=xl/charts/chart8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Pos val="bestFit"/>
            <c:showLegendKey val="0"/>
            <c:showVal val="0"/>
            <c:showCatName val="0"/>
            <c:showSerName val="0"/>
            <c:showPercent val="1"/>
            <c:showLeaderLines val="0"/>
          </c:dLbls>
          <c:cat>
            <c:strRef>
              <c:f>'T. PAES'!$A$139:$A$142</c:f>
              <c:strCache>
                <c:ptCount val="3"/>
                <c:pt idx="0">
                  <c:v>EE</c:v>
                </c:pt>
                <c:pt idx="1">
                  <c:v>GLP</c:v>
                </c:pt>
                <c:pt idx="2">
                  <c:v>Gasoil</c:v>
                </c:pt>
              </c:strCache>
            </c:strRef>
          </c:cat>
          <c:val>
            <c:numRef>
              <c:f>'T. PAES'!$F$139:$F$142</c:f>
              <c:numCache>
                <c:formatCode>General</c:formatCode>
                <c:ptCount val="3"/>
                <c:pt idx="0">
                  <c:v>39033.5947155</c:v>
                </c:pt>
                <c:pt idx="1">
                  <c:v>1411.98618389238</c:v>
                </c:pt>
                <c:pt idx="2">
                  <c:v>6086.07844267084</c:v>
                </c:pt>
              </c:numCache>
            </c:numRef>
          </c:val>
        </c:ser>
      </c:pie3DChart>
      <c:spPr>
        <a:solidFill>
          <a:srgbClr val="d9d9d9"/>
        </a:solidFill>
        <a:ln>
          <a:noFill/>
        </a:ln>
      </c:spPr>
    </c:plotArea>
    <c:legend>
      <c:layout>
        <c:manualLayout>
          <c:xMode val="edge"/>
          <c:yMode val="edge"/>
          <c:x val="0.771634615384615"/>
          <c:y val="0.218736383442266"/>
        </c:manualLayout>
      </c:layout>
      <c:spPr>
        <a:noFill/>
        <a:ln>
          <a:noFill/>
        </a:ln>
      </c:spPr>
    </c:legend>
    <c:plotVisOnly val="1"/>
    <c:dispBlanksAs val="zero"/>
  </c:chart>
  <c:spPr>
    <a:solidFill>
      <a:srgbClr val="ffffff"/>
    </a:solidFill>
    <a:ln>
      <a:noFill/>
    </a:ln>
  </c:spPr>
</c:chartSpace>
</file>

<file path=xl/charts/chart8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PAES'!$A$178:$A$182</c:f>
              <c:strCache>
                <c:ptCount val="2"/>
                <c:pt idx="0">
                  <c:v>Benzina</c:v>
                </c:pt>
                <c:pt idx="1">
                  <c:v>Gasoil A</c:v>
                </c:pt>
              </c:strCache>
            </c:strRef>
          </c:cat>
          <c:val>
            <c:numRef>
              <c:f>'T. PAES'!$B$178:$B$182</c:f>
              <c:numCache>
                <c:formatCode>General</c:formatCode>
                <c:ptCount val="2"/>
                <c:pt idx="0">
                  <c:v>34836.8314454196</c:v>
                </c:pt>
                <c:pt idx="1">
                  <c:v>52248.3794139128</c:v>
                </c:pt>
              </c:numCache>
            </c:numRef>
          </c:val>
        </c:ser>
      </c:pie3DChart>
      <c:spPr>
        <a:solidFill>
          <a:srgbClr val="d9d9d9"/>
        </a:solidFill>
        <a:ln>
          <a:noFill/>
        </a:ln>
      </c:spPr>
    </c:plotArea>
    <c:legend>
      <c:layout>
        <c:manualLayout>
          <c:xMode val="edge"/>
          <c:yMode val="edge"/>
          <c:x val="0.771598272138229"/>
          <c:y val="0.334134615384615"/>
        </c:manualLayout>
      </c:layout>
      <c:spPr>
        <a:noFill/>
        <a:ln>
          <a:noFill/>
        </a:ln>
      </c:spPr>
    </c:legend>
    <c:plotVisOnly val="1"/>
    <c:dispBlanksAs val="zero"/>
  </c:chart>
  <c:spPr>
    <a:solidFill>
      <a:srgbClr val="ffffff"/>
    </a:solidFill>
    <a:ln>
      <a:noFill/>
    </a:ln>
  </c:spPr>
</c:chartSpace>
</file>

<file path=xl/charts/chart8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PAES'!$A$181:$A$182</c:f>
              <c:strCache>
                <c:ptCount val="2"/>
                <c:pt idx="0">
                  <c:v>Benzina</c:v>
                </c:pt>
                <c:pt idx="1">
                  <c:v>Gasoil A</c:v>
                </c:pt>
              </c:strCache>
            </c:strRef>
          </c:cat>
          <c:val>
            <c:numRef>
              <c:f>'T. PAES'!$F$181:$F$182</c:f>
              <c:numCache>
                <c:formatCode>General</c:formatCode>
                <c:ptCount val="2"/>
                <c:pt idx="0">
                  <c:v>31985.7961396805</c:v>
                </c:pt>
                <c:pt idx="1">
                  <c:v>57330.144326916</c:v>
                </c:pt>
              </c:numCache>
            </c:numRef>
          </c:val>
        </c:ser>
      </c:pie3DChart>
      <c:spPr>
        <a:solidFill>
          <a:srgbClr val="d9d9d9"/>
        </a:solidFill>
        <a:ln>
          <a:noFill/>
        </a:ln>
      </c:spPr>
    </c:plotArea>
    <c:legend>
      <c:layout>
        <c:manualLayout>
          <c:xMode val="edge"/>
          <c:yMode val="edge"/>
          <c:x val="0.786458333333333"/>
          <c:y val="0.334134615384615"/>
        </c:manualLayout>
      </c:layout>
      <c:spPr>
        <a:noFill/>
        <a:ln>
          <a:noFill/>
        </a:ln>
      </c:spPr>
    </c:legend>
    <c:plotVisOnly val="1"/>
    <c:dispBlanksAs val="zero"/>
  </c:chart>
  <c:spPr>
    <a:solidFill>
      <a:srgbClr val="ffffff"/>
    </a:solidFill>
    <a:ln>
      <a:noFill/>
    </a:ln>
  </c:spPr>
</c:chartSpace>
</file>

<file path=xl/charts/chart8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PAES'!$A$191:$A$195</c:f>
              <c:strCache>
                <c:ptCount val="2"/>
                <c:pt idx="0">
                  <c:v>Benzina</c:v>
                </c:pt>
                <c:pt idx="1">
                  <c:v>Gasoil A</c:v>
                </c:pt>
              </c:strCache>
            </c:strRef>
          </c:cat>
          <c:val>
            <c:numRef>
              <c:f>'T. PAES'!$B$191:$B$195</c:f>
              <c:numCache>
                <c:formatCode>General</c:formatCode>
                <c:ptCount val="2"/>
                <c:pt idx="0">
                  <c:v>8674.37102990949</c:v>
                </c:pt>
                <c:pt idx="1">
                  <c:v>13950.3173035147</c:v>
                </c:pt>
              </c:numCache>
            </c:numRef>
          </c:val>
        </c:ser>
      </c:pie3DChart>
      <c:spPr>
        <a:solidFill>
          <a:srgbClr val="d9d9d9"/>
        </a:solidFill>
        <a:ln>
          <a:noFill/>
        </a:ln>
      </c:spPr>
    </c:plotArea>
    <c:legend>
      <c:layout>
        <c:manualLayout>
          <c:xMode val="edge"/>
          <c:yMode val="edge"/>
          <c:x val="0.786447084233261"/>
          <c:y val="0.324716115003624"/>
        </c:manualLayout>
      </c:layout>
      <c:spPr>
        <a:noFill/>
        <a:ln>
          <a:noFill/>
        </a:ln>
      </c:spPr>
    </c:legend>
    <c:plotVisOnly val="1"/>
    <c:dispBlanksAs val="zero"/>
  </c:chart>
  <c:spPr>
    <a:solidFill>
      <a:srgbClr val="ffffff"/>
    </a:solidFill>
    <a:ln>
      <a:noFill/>
    </a:ln>
  </c:spPr>
</c:chartSpace>
</file>

<file path=xl/charts/chart8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PAES'!$A$194:$A$195</c:f>
              <c:strCache>
                <c:ptCount val="2"/>
                <c:pt idx="0">
                  <c:v>Benzina</c:v>
                </c:pt>
                <c:pt idx="1">
                  <c:v>Gasoil A</c:v>
                </c:pt>
              </c:strCache>
            </c:strRef>
          </c:cat>
          <c:val>
            <c:numRef>
              <c:f>'T. PAES'!$F$194:$F$195</c:f>
              <c:numCache>
                <c:formatCode>General</c:formatCode>
                <c:ptCount val="2"/>
                <c:pt idx="0">
                  <c:v>7964.46323878046</c:v>
                </c:pt>
                <c:pt idx="1">
                  <c:v>15307.1485352866</c:v>
                </c:pt>
              </c:numCache>
            </c:numRef>
          </c:val>
        </c:ser>
      </c:pie3DChart>
      <c:spPr>
        <a:solidFill>
          <a:srgbClr val="d9d9d9"/>
        </a:solidFill>
        <a:ln>
          <a:noFill/>
        </a:ln>
      </c:spPr>
    </c:plotArea>
    <c:legend>
      <c:layout>
        <c:manualLayout>
          <c:xMode val="edge"/>
          <c:yMode val="edge"/>
          <c:x val="0.761879049676026"/>
          <c:y val="0.329306595796086"/>
        </c:manualLayout>
      </c:layout>
      <c:spPr>
        <a:noFill/>
        <a:ln>
          <a:noFill/>
        </a:ln>
      </c:spPr>
    </c:legend>
    <c:plotVisOnly val="1"/>
    <c:dispBlanksAs val="zero"/>
  </c:chart>
  <c:spPr>
    <a:solidFill>
      <a:srgbClr val="ffffff"/>
    </a:solidFill>
    <a:ln>
      <a:noFill/>
    </a:ln>
  </c:spPr>
</c:chartSpace>
</file>

<file path=xl/charts/chart8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0"/>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0"/>
            </c:dLbl>
            <c:dLblPos val="bestFit"/>
            <c:showLegendKey val="0"/>
            <c:showVal val="0"/>
            <c:showCatName val="0"/>
            <c:showSerName val="0"/>
            <c:showPercent val="1"/>
            <c:showLeaderLines val="0"/>
          </c:dLbls>
          <c:cat>
            <c:strRef>
              <c:f>'T. PAES'!$A$228:$A$232</c:f>
              <c:strCache>
                <c:ptCount val="5"/>
                <c:pt idx="0">
                  <c:v>Rebuig</c:v>
                </c:pt>
                <c:pt idx="1">
                  <c:v>Orgànica</c:v>
                </c:pt>
                <c:pt idx="2">
                  <c:v>Paper-cartró</c:v>
                </c:pt>
                <c:pt idx="3">
                  <c:v>Vidre</c:v>
                </c:pt>
                <c:pt idx="4">
                  <c:v>Envasos</c:v>
                </c:pt>
              </c:strCache>
            </c:strRef>
          </c:cat>
          <c:val>
            <c:numRef>
              <c:f>'T. PAES'!$B$228:$B$232</c:f>
              <c:numCache>
                <c:formatCode>General</c:formatCode>
                <c:ptCount val="5"/>
                <c:pt idx="0">
                  <c:v>9048.437186</c:v>
                </c:pt>
                <c:pt idx="1">
                  <c:v>0</c:v>
                </c:pt>
                <c:pt idx="2">
                  <c:v>-62.2114</c:v>
                </c:pt>
                <c:pt idx="3">
                  <c:v>-226.97304</c:v>
                </c:pt>
                <c:pt idx="4">
                  <c:v>-29.9155752539429</c:v>
                </c:pt>
              </c:numCache>
            </c:numRef>
          </c:val>
        </c:ser>
      </c:pie3DChart>
      <c:spPr>
        <a:solidFill>
          <a:srgbClr val="d9d9d9"/>
        </a:solidFill>
        <a:ln>
          <a:noFill/>
        </a:ln>
      </c:spPr>
    </c:plotArea>
    <c:legend>
      <c:layout>
        <c:manualLayout>
          <c:xMode val="edge"/>
          <c:yMode val="edge"/>
          <c:x val="0.664551835853132"/>
          <c:y val="0.0920894445780236"/>
        </c:manualLayout>
      </c:layout>
      <c:spPr>
        <a:noFill/>
        <a:ln>
          <a:noFill/>
        </a:ln>
      </c:spPr>
    </c:legend>
    <c:plotVisOnly val="1"/>
    <c:dispBlanksAs val="zero"/>
  </c:chart>
  <c:spPr>
    <a:solidFill>
      <a:srgbClr val="ffffff"/>
    </a:solidFill>
    <a:ln>
      <a:noFill/>
    </a:ln>
  </c:spPr>
</c:chartSpace>
</file>

<file path=xl/charts/chart8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0"/>
            </c:dLbl>
            <c:dLblPos val="bestFit"/>
            <c:showLegendKey val="0"/>
            <c:showVal val="0"/>
            <c:showCatName val="0"/>
            <c:showSerName val="0"/>
            <c:showPercent val="1"/>
            <c:showLeaderLines val="0"/>
          </c:dLbls>
          <c:cat>
            <c:strRef>
              <c:f>'T. PAES'!$A$228:$A$232</c:f>
              <c:strCache>
                <c:ptCount val="5"/>
                <c:pt idx="0">
                  <c:v>Rebuig</c:v>
                </c:pt>
                <c:pt idx="1">
                  <c:v>Orgànica</c:v>
                </c:pt>
                <c:pt idx="2">
                  <c:v>Paper-cartró</c:v>
                </c:pt>
                <c:pt idx="3">
                  <c:v>Vidre</c:v>
                </c:pt>
                <c:pt idx="4">
                  <c:v>Envasos</c:v>
                </c:pt>
              </c:strCache>
            </c:strRef>
          </c:cat>
          <c:val>
            <c:numRef>
              <c:f>'T. PAES'!$F$228:$F$232</c:f>
              <c:numCache>
                <c:formatCode>General</c:formatCode>
                <c:ptCount val="5"/>
                <c:pt idx="0">
                  <c:v>8440.1826</c:v>
                </c:pt>
                <c:pt idx="1">
                  <c:v>16.5952</c:v>
                </c:pt>
                <c:pt idx="2">
                  <c:v>-77.51727</c:v>
                </c:pt>
                <c:pt idx="3">
                  <c:v>-296.17784</c:v>
                </c:pt>
                <c:pt idx="4">
                  <c:v>-75.6517825629408</c:v>
                </c:pt>
              </c:numCache>
            </c:numRef>
          </c:val>
        </c:ser>
      </c:pie3DChart>
      <c:spPr>
        <a:solidFill>
          <a:srgbClr val="d9d9d9"/>
        </a:solidFill>
        <a:ln>
          <a:noFill/>
        </a:ln>
      </c:spPr>
    </c:plotArea>
    <c:legend>
      <c:layout>
        <c:manualLayout>
          <c:xMode val="edge"/>
          <c:yMode val="edge"/>
          <c:x val="0.716746794871795"/>
          <c:y val="0.105073334936283"/>
        </c:manualLayout>
      </c:layout>
      <c:spPr>
        <a:noFill/>
        <a:ln>
          <a:noFill/>
        </a:ln>
      </c:spPr>
    </c:legend>
    <c:plotVisOnly val="1"/>
    <c:dispBlanksAs val="zero"/>
  </c:chart>
  <c:spPr>
    <a:solidFill>
      <a:srgbClr val="ffffff"/>
    </a:solidFill>
    <a:ln>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Pt>
            <c:idx val="2"/>
            <c:spPr>
              <a:solidFill>
                <a:srgbClr val="9bbb59"/>
              </a:solidFill>
              <a:ln>
                <a:noFill/>
              </a:ln>
            </c:spPr>
          </c:dPt>
          <c:dPt>
            <c:idx val="3"/>
            <c:spPr>
              <a:solidFill>
                <a:srgbClr val="8064a2"/>
              </a:solidFill>
              <a:ln>
                <a:noFill/>
              </a:ln>
            </c:spPr>
          </c:dPt>
          <c:dPt>
            <c:idx val="4"/>
            <c:spPr>
              <a:solidFill>
                <a:srgbClr val="4bacc6"/>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
              <c:idx val="2"/>
              <c:dLblPos val="bestFit"/>
              <c:showLegendKey val="0"/>
              <c:showVal val="0"/>
              <c:showCatName val="0"/>
              <c:showSerName val="0"/>
              <c:showPercent val="1"/>
            </c:dLbl>
            <c:dLbl>
              <c:idx val="3"/>
              <c:dLblPos val="bestFit"/>
              <c:showLegendKey val="0"/>
              <c:showVal val="0"/>
              <c:showCatName val="0"/>
              <c:showSerName val="0"/>
              <c:showPercent val="1"/>
            </c:dLbl>
            <c:dLbl>
              <c:idx val="4"/>
              <c:dLblPos val="bestFit"/>
              <c:showLegendKey val="0"/>
              <c:showVal val="0"/>
              <c:showCatName val="0"/>
              <c:showSerName val="0"/>
              <c:showPercent val="1"/>
            </c:dLbl>
            <c:dLblPos val="bestFit"/>
            <c:showLegendKey val="0"/>
            <c:showVal val="0"/>
            <c:showCatName val="0"/>
            <c:showSerName val="0"/>
            <c:showPercent val="1"/>
            <c:showLeaderLines val="0"/>
          </c:dLbls>
          <c:cat>
            <c:strRef>
              <c:f>'T. MUNICIPI'!$A$29:$A$33</c:f>
              <c:strCache>
                <c:ptCount val="5"/>
                <c:pt idx="0">
                  <c:v>EE</c:v>
                </c:pt>
                <c:pt idx="1">
                  <c:v>GLP</c:v>
                </c:pt>
                <c:pt idx="2">
                  <c:v>Gasoil</c:v>
                </c:pt>
                <c:pt idx="3">
                  <c:v>Gasolina</c:v>
                </c:pt>
                <c:pt idx="4">
                  <c:v>Fueloil</c:v>
                </c:pt>
              </c:strCache>
            </c:strRef>
          </c:cat>
          <c:val>
            <c:numRef>
              <c:f>'T. MUNICIPI'!$B$29:$B$33</c:f>
              <c:numCache>
                <c:formatCode>General</c:formatCode>
                <c:ptCount val="5"/>
                <c:pt idx="0">
                  <c:v>77626</c:v>
                </c:pt>
                <c:pt idx="1">
                  <c:v>10915.2620358363</c:v>
                </c:pt>
                <c:pt idx="2">
                  <c:v>115615.236808395</c:v>
                </c:pt>
                <c:pt idx="3">
                  <c:v>34836.8314454196</c:v>
                </c:pt>
                <c:pt idx="4">
                  <c:v>3382.90663205931</c:v>
                </c:pt>
              </c:numCache>
            </c:numRef>
          </c:val>
        </c:ser>
      </c:pie3DChart>
      <c:spPr>
        <a:solidFill>
          <a:srgbClr val="d9d9d9"/>
        </a:solidFill>
        <a:ln>
          <a:noFill/>
        </a:ln>
      </c:spPr>
    </c:plotArea>
    <c:legend>
      <c:layout>
        <c:manualLayout>
          <c:xMode val="edge"/>
          <c:yMode val="edge"/>
          <c:x val="0.735556155507559"/>
          <c:y val="0.0663068619892059"/>
        </c:manualLayout>
      </c:layout>
      <c:spPr>
        <a:noFill/>
        <a:ln>
          <a:noFill/>
        </a:ln>
      </c:spPr>
    </c:legend>
    <c:plotVisOnly val="1"/>
    <c:dispBlanksAs val="zero"/>
  </c:chart>
  <c:spPr>
    <a:solidFill>
      <a:srgbClr val="ffffff"/>
    </a:solidFill>
    <a:ln>
      <a:noFill/>
    </a:ln>
  </c:spPr>
</c:chartSpace>
</file>

<file path=xl/charts/chart9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PAES'!$A$274:$A$275</c:f>
              <c:strCache>
                <c:ptCount val="2"/>
                <c:pt idx="0">
                  <c:v>Bombeig</c:v>
                </c:pt>
                <c:pt idx="1">
                  <c:v>EDAR</c:v>
                </c:pt>
              </c:strCache>
            </c:strRef>
          </c:cat>
          <c:val>
            <c:numRef>
              <c:f>'T. PAES'!$B$274:$B$275</c:f>
              <c:numCache>
                <c:formatCode>General</c:formatCode>
                <c:ptCount val="2"/>
                <c:pt idx="0">
                  <c:v>5631.29415</c:v>
                </c:pt>
                <c:pt idx="1">
                  <c:v>364.62474</c:v>
                </c:pt>
              </c:numCache>
            </c:numRef>
          </c:val>
        </c:ser>
      </c:pie3DChart>
      <c:spPr>
        <a:solidFill>
          <a:srgbClr val="d9d9d9"/>
        </a:solidFill>
        <a:ln>
          <a:noFill/>
        </a:ln>
      </c:spPr>
    </c:plotArea>
    <c:legend>
      <c:layout>
        <c:manualLayout>
          <c:xMode val="edge"/>
          <c:yMode val="edge"/>
          <c:x val="0.772836538461538"/>
          <c:y val="0.37126185266229"/>
        </c:manualLayout>
      </c:layout>
      <c:spPr>
        <a:noFill/>
        <a:ln>
          <a:noFill/>
        </a:ln>
      </c:spPr>
    </c:legend>
    <c:plotVisOnly val="1"/>
    <c:dispBlanksAs val="zero"/>
  </c:chart>
  <c:spPr>
    <a:solidFill>
      <a:srgbClr val="ffffff"/>
    </a:solidFill>
    <a:ln>
      <a:noFill/>
    </a:ln>
  </c:spPr>
</c:chartSpace>
</file>

<file path=xl/charts/chart9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PAES'!$A$274:$A$275</c:f>
              <c:strCache>
                <c:ptCount val="2"/>
                <c:pt idx="0">
                  <c:v>Bombeig</c:v>
                </c:pt>
                <c:pt idx="1">
                  <c:v>EDAR</c:v>
                </c:pt>
              </c:strCache>
            </c:strRef>
          </c:cat>
          <c:val>
            <c:numRef>
              <c:f>'T. PAES'!$F$274:$F$275</c:f>
              <c:numCache>
                <c:formatCode>General</c:formatCode>
                <c:ptCount val="2"/>
                <c:pt idx="0">
                  <c:v>6891.7632</c:v>
                </c:pt>
                <c:pt idx="1">
                  <c:v>432.03888</c:v>
                </c:pt>
              </c:numCache>
            </c:numRef>
          </c:val>
        </c:ser>
      </c:pie3DChart>
      <c:spPr>
        <a:solidFill>
          <a:srgbClr val="d9d9d9"/>
        </a:solidFill>
        <a:ln>
          <a:noFill/>
        </a:ln>
      </c:spPr>
    </c:plotArea>
    <c:legend>
      <c:layout>
        <c:manualLayout>
          <c:xMode val="edge"/>
          <c:yMode val="edge"/>
          <c:x val="0.758146367521368"/>
          <c:y val="0.37126185266229"/>
        </c:manualLayout>
      </c:layout>
      <c:spPr>
        <a:noFill/>
        <a:ln>
          <a:noFill/>
        </a:ln>
      </c:spPr>
    </c:legend>
    <c:plotVisOnly val="1"/>
    <c:dispBlanksAs val="zero"/>
  </c:chart>
  <c:spPr>
    <a:solidFill>
      <a:srgbClr val="ffffff"/>
    </a:solidFill>
    <a:ln>
      <a:noFill/>
    </a:ln>
  </c:spPr>
</c:chartSpace>
</file>

<file path=xl/charts/chart9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2005</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PAES'!$A$288:$A$289</c:f>
              <c:strCache>
                <c:ptCount val="2"/>
                <c:pt idx="0">
                  <c:v>Bombeig</c:v>
                </c:pt>
                <c:pt idx="1">
                  <c:v>EDAR</c:v>
                </c:pt>
              </c:strCache>
            </c:strRef>
          </c:cat>
          <c:val>
            <c:numRef>
              <c:f>'T. PAES'!$B$288:$B$289</c:f>
              <c:numCache>
                <c:formatCode>General</c:formatCode>
                <c:ptCount val="2"/>
                <c:pt idx="0">
                  <c:v>4751.68600377</c:v>
                </c:pt>
                <c:pt idx="1">
                  <c:v>307.670355612</c:v>
                </c:pt>
              </c:numCache>
            </c:numRef>
          </c:val>
        </c:ser>
      </c:pie3DChart>
      <c:spPr>
        <a:solidFill>
          <a:srgbClr val="d9d9d9"/>
        </a:solidFill>
        <a:ln>
          <a:noFill/>
        </a:ln>
      </c:spPr>
    </c:plotArea>
    <c:legend>
      <c:layout>
        <c:manualLayout>
          <c:xMode val="edge"/>
          <c:yMode val="edge"/>
          <c:x val="0.787526997840173"/>
          <c:y val="0.295891077072696"/>
        </c:manualLayout>
      </c:layout>
      <c:spPr>
        <a:noFill/>
        <a:ln>
          <a:noFill/>
        </a:ln>
      </c:spPr>
    </c:legend>
    <c:plotVisOnly val="1"/>
    <c:dispBlanksAs val="zero"/>
  </c:chart>
  <c:spPr>
    <a:solidFill>
      <a:srgbClr val="ffffff"/>
    </a:solidFill>
    <a:ln>
      <a:noFill/>
    </a:ln>
  </c:spPr>
</c:chartSpace>
</file>

<file path=xl/charts/chart9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Any 2009</a:t>
            </a:r>
          </a:p>
        </c:rich>
      </c:tx>
      <c:overlay val="0"/>
    </c:title>
    <c:autoTitleDeleted val="0"/>
    <c:view3D>
      <c:rotX val="30"/>
      <c:rotY val="0"/>
      <c:rAngAx val="0"/>
      <c:perspective val="30"/>
    </c:view3D>
    <c:floor>
      <c:spPr>
        <a:solidFill>
          <a:srgbClr val="d9d9d9"/>
        </a:solidFill>
        <a:ln>
          <a:noFill/>
        </a:ln>
      </c:spPr>
    </c:floor>
    <c:backWall>
      <c:spPr>
        <a:solidFill>
          <a:srgbClr val="d9d9d9"/>
        </a:solidFill>
        <a:ln>
          <a:noFill/>
        </a:ln>
      </c:spPr>
    </c:backWall>
    <c:plotArea>
      <c:pie3DChart>
        <c:varyColors val="1"/>
        <c:ser>
          <c:idx val="0"/>
          <c:order val="0"/>
          <c:spPr>
            <a:solidFill>
              <a:srgbClr val="4f81bd"/>
            </a:solidFill>
            <a:ln>
              <a:noFill/>
            </a:ln>
          </c:spPr>
          <c:explosion val="0"/>
          <c:dPt>
            <c:idx val="0"/>
            <c:spPr>
              <a:solidFill>
                <a:srgbClr val="4f81bd"/>
              </a:solidFill>
              <a:ln>
                <a:noFill/>
              </a:ln>
            </c:spPr>
          </c:dPt>
          <c:dPt>
            <c:idx val="1"/>
            <c:spPr>
              <a:solidFill>
                <a:srgbClr val="c0504d"/>
              </a:solidFill>
              <a:ln>
                <a:noFill/>
              </a:ln>
            </c:spPr>
          </c:dPt>
          <c:dLbls>
            <c:dLbl>
              <c:idx val="0"/>
              <c:dLblPos val="bestFit"/>
              <c:showLegendKey val="0"/>
              <c:showVal val="0"/>
              <c:showCatName val="0"/>
              <c:showSerName val="0"/>
              <c:showPercent val="1"/>
            </c:dLbl>
            <c:dLbl>
              <c:idx val="1"/>
              <c:dLblPos val="bestFit"/>
              <c:showLegendKey val="0"/>
              <c:showVal val="0"/>
              <c:showCatName val="0"/>
              <c:showSerName val="0"/>
              <c:showPercent val="1"/>
            </c:dLbl>
            <c:dLblPos val="bestFit"/>
            <c:showLegendKey val="0"/>
            <c:showVal val="0"/>
            <c:showCatName val="0"/>
            <c:showSerName val="0"/>
            <c:showPercent val="1"/>
            <c:showLeaderLines val="0"/>
          </c:dLbls>
          <c:cat>
            <c:strRef>
              <c:f>'T. PAES'!$A$288:$A$289</c:f>
              <c:strCache>
                <c:ptCount val="2"/>
                <c:pt idx="0">
                  <c:v>Bombeig</c:v>
                </c:pt>
                <c:pt idx="1">
                  <c:v>EDAR</c:v>
                </c:pt>
              </c:strCache>
            </c:strRef>
          </c:cat>
          <c:val>
            <c:numRef>
              <c:f>'T. PAES'!$F$288:$F$289</c:f>
              <c:numCache>
                <c:formatCode>General</c:formatCode>
                <c:ptCount val="2"/>
                <c:pt idx="0">
                  <c:v>5844.90436992</c:v>
                </c:pt>
                <c:pt idx="1">
                  <c:v>366.412174128</c:v>
                </c:pt>
              </c:numCache>
            </c:numRef>
          </c:val>
        </c:ser>
      </c:pie3DChart>
      <c:spPr>
        <a:solidFill>
          <a:srgbClr val="d9d9d9"/>
        </a:solidFill>
        <a:ln>
          <a:noFill/>
        </a:ln>
      </c:spPr>
    </c:plotArea>
    <c:legend>
      <c:layout>
        <c:manualLayout>
          <c:xMode val="edge"/>
          <c:yMode val="edge"/>
          <c:x val="0.772836538461538"/>
          <c:y val="0.345128453708192"/>
        </c:manualLayout>
      </c:layout>
      <c:spPr>
        <a:noFill/>
        <a:ln>
          <a:noFill/>
        </a:ln>
      </c:spPr>
    </c:legend>
    <c:plotVisOnly val="1"/>
    <c:dispBlanksAs val="zero"/>
  </c:chart>
  <c:spPr>
    <a:solidFill>
      <a:srgbClr val="ffffff"/>
    </a:solidFill>
    <a:ln>
      <a:noFill/>
    </a:ln>
  </c:spPr>
</c:chartSpace>
</file>

<file path=xl/charts/chart9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12143439282804"/>
          <c:y val="0.0714395452450453"/>
          <c:w val="0.63398533007335"/>
          <c:h val="0.649869411583961"/>
        </c:manualLayout>
      </c:layout>
      <c:barChart>
        <c:barDir val="col"/>
        <c:grouping val="stacked"/>
        <c:varyColors val="0"/>
        <c:ser>
          <c:idx val="0"/>
          <c:order val="0"/>
          <c:tx>
            <c:strRef>
              <c:f>'T. PAES'!$A$27</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PAES'!$B$27:$G$27</c:f>
              <c:numCache>
                <c:formatCode>General</c:formatCode>
                <c:ptCount val="6"/>
                <c:pt idx="0">
                  <c:v>0.29968439949787</c:v>
                </c:pt>
                <c:pt idx="1">
                  <c:v>0.2946723470723</c:v>
                </c:pt>
                <c:pt idx="2">
                  <c:v>0.316734954263055</c:v>
                </c:pt>
                <c:pt idx="3">
                  <c:v>0.359542622105368</c:v>
                </c:pt>
                <c:pt idx="4">
                  <c:v>0</c:v>
                </c:pt>
                <c:pt idx="5">
                  <c:v>0</c:v>
                </c:pt>
              </c:numCache>
            </c:numRef>
          </c:val>
        </c:ser>
        <c:ser>
          <c:idx val="1"/>
          <c:order val="1"/>
          <c:tx>
            <c:strRef>
              <c:f>'T. PAES'!$A$26</c:f>
              <c:strCache>
                <c:ptCount val="1"/>
                <c:pt idx="0">
                  <c:v>Gasolina</c:v>
                </c:pt>
              </c:strCache>
            </c:strRef>
          </c:tx>
          <c:spPr>
            <a:solidFill>
              <a:srgbClr val="4bacc6"/>
            </a:solidFill>
            <a:ln>
              <a:noFill/>
            </a:ln>
          </c:spPr>
          <c:invertIfNegative val="0"/>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PAES'!$B$26:$G$26</c:f>
              <c:numCache>
                <c:formatCode>General</c:formatCode>
                <c:ptCount val="6"/>
                <c:pt idx="0">
                  <c:v>34836.8314454196</c:v>
                </c:pt>
                <c:pt idx="1">
                  <c:v>35409.5394101154</c:v>
                </c:pt>
                <c:pt idx="2">
                  <c:v>35196.5507080797</c:v>
                </c:pt>
                <c:pt idx="3">
                  <c:v>33553.6409992852</c:v>
                </c:pt>
                <c:pt idx="4">
                  <c:v>31985.7961396805</c:v>
                </c:pt>
                <c:pt idx="5">
                  <c:v>30823.9985122559</c:v>
                </c:pt>
              </c:numCache>
            </c:numRef>
          </c:val>
        </c:ser>
        <c:ser>
          <c:idx val="2"/>
          <c:order val="2"/>
          <c:tx>
            <c:strRef>
              <c:f>'T. PAES'!$A$25</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PAES'!$B$25:$G$25</c:f>
              <c:numCache>
                <c:formatCode>General</c:formatCode>
                <c:ptCount val="6"/>
                <c:pt idx="0">
                  <c:v>100177.851280179</c:v>
                </c:pt>
                <c:pt idx="1">
                  <c:v>113128.276610513</c:v>
                </c:pt>
                <c:pt idx="2">
                  <c:v>122657.72356414</c:v>
                </c:pt>
                <c:pt idx="3">
                  <c:v>114807.441533116</c:v>
                </c:pt>
                <c:pt idx="4">
                  <c:v>107717.016298789</c:v>
                </c:pt>
                <c:pt idx="5">
                  <c:v>96416.0551424335</c:v>
                </c:pt>
              </c:numCache>
            </c:numRef>
          </c:val>
        </c:ser>
        <c:ser>
          <c:idx val="3"/>
          <c:order val="3"/>
          <c:tx>
            <c:strRef>
              <c:f>'T. PAES'!$A$24</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PAES'!$B$24:$G$24</c:f>
              <c:numCache>
                <c:formatCode>General</c:formatCode>
                <c:ptCount val="6"/>
                <c:pt idx="0">
                  <c:v>10421.5682052401</c:v>
                </c:pt>
                <c:pt idx="1">
                  <c:v>9832.90668244073</c:v>
                </c:pt>
                <c:pt idx="2">
                  <c:v>9177.83028822554</c:v>
                </c:pt>
                <c:pt idx="3">
                  <c:v>8917.82358088166</c:v>
                </c:pt>
                <c:pt idx="4">
                  <c:v>8361.11718081349</c:v>
                </c:pt>
                <c:pt idx="5">
                  <c:v>7688.16429681725</c:v>
                </c:pt>
              </c:numCache>
            </c:numRef>
          </c:val>
        </c:ser>
        <c:ser>
          <c:idx val="4"/>
          <c:order val="4"/>
          <c:tx>
            <c:strRef>
              <c:f>'T. PAES'!$A$22</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PAES'!$B$21:$G$21</c:f>
              <c:strCache>
                <c:ptCount val="6"/>
                <c:pt idx="0">
                  <c:v>2005</c:v>
                </c:pt>
                <c:pt idx="1">
                  <c:v>2006</c:v>
                </c:pt>
                <c:pt idx="2">
                  <c:v>2007</c:v>
                </c:pt>
                <c:pt idx="3">
                  <c:v>2008</c:v>
                </c:pt>
                <c:pt idx="4">
                  <c:v>2009</c:v>
                </c:pt>
                <c:pt idx="5">
                  <c:v>2010</c:v>
                </c:pt>
              </c:strCache>
            </c:strRef>
          </c:cat>
          <c:val>
            <c:numRef>
              <c:f>'T. PAES'!$B$22:$G$22</c:f>
              <c:numCache>
                <c:formatCode>General</c:formatCode>
                <c:ptCount val="6"/>
                <c:pt idx="0">
                  <c:v>72850.7405019298</c:v>
                </c:pt>
                <c:pt idx="1">
                  <c:v>75444.4357514477</c:v>
                </c:pt>
                <c:pt idx="2">
                  <c:v>76991.0904120891</c:v>
                </c:pt>
                <c:pt idx="3">
                  <c:v>76827.9621824255</c:v>
                </c:pt>
                <c:pt idx="4">
                  <c:v>76942.1031615051</c:v>
                </c:pt>
                <c:pt idx="5">
                  <c:v>78833.6404831326</c:v>
                </c:pt>
              </c:numCache>
            </c:numRef>
          </c:val>
        </c:ser>
        <c:ser>
          <c:idx val="5"/>
          <c:order val="5"/>
          <c:tx>
            <c:strRef>
              <c:f>'T. PAES'!$A$23</c:f>
              <c:strCache>
                <c:ptCount val="1"/>
                <c:pt idx="0">
                  <c:v/>
                </c:pt>
              </c:strCache>
            </c:strRef>
          </c:tx>
          <c:spPr>
            <a:solidFill>
              <a:srgbClr val="9bbb59"/>
            </a:solidFill>
            <a:ln>
              <a:noFill/>
            </a:ln>
          </c:spPr>
          <c:invertIfNegative val="0"/>
          <c:cat>
            <c:strRef>
              <c:f>'T. PAES'!$B$21:$G$21</c:f>
              <c:strCache>
                <c:ptCount val="6"/>
                <c:pt idx="0">
                  <c:v>2005</c:v>
                </c:pt>
                <c:pt idx="1">
                  <c:v>2006</c:v>
                </c:pt>
                <c:pt idx="2">
                  <c:v>2007</c:v>
                </c:pt>
                <c:pt idx="3">
                  <c:v>2008</c:v>
                </c:pt>
                <c:pt idx="4">
                  <c:v>2009</c:v>
                </c:pt>
                <c:pt idx="5">
                  <c:v>2010</c:v>
                </c:pt>
              </c:strCache>
            </c:strRef>
          </c:cat>
          <c:val>
            <c:numRef>
              <c:f>'T. PAES'!$B$23:$G$23</c:f>
              <c:numCache>
                <c:formatCode>General</c:formatCode>
                <c:ptCount val="0"/>
              </c:numCache>
            </c:numRef>
          </c:val>
        </c:ser>
        <c:gapWidth val="150"/>
        <c:overlap val="100"/>
        <c:axId val="7200896"/>
        <c:axId val="14842973"/>
      </c:barChart>
      <c:catAx>
        <c:axId val="7200896"/>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14842973"/>
        <c:crosses val="autoZero"/>
        <c:auto val="1"/>
        <c:lblAlgn val="ctr"/>
        <c:lblOffset val="100"/>
      </c:catAx>
      <c:valAx>
        <c:axId val="14842973"/>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PAES</a:t>
                </a:r>
              </a:p>
            </c:rich>
          </c:tx>
          <c:overlay val="0"/>
        </c:title>
        <c:numFmt formatCode="#,##0" sourceLinked="0"/>
        <c:majorTickMark val="out"/>
        <c:minorTickMark val="none"/>
        <c:tickLblPos val="nextTo"/>
        <c:spPr>
          <a:ln w="9360">
            <a:solidFill>
              <a:srgbClr val="878787"/>
            </a:solidFill>
            <a:round/>
          </a:ln>
        </c:spPr>
        <c:txPr>
          <a:bodyPr/>
          <a:p>
            <a:pPr>
              <a:defRPr b="0" sz="900" spc="-1" strike="noStrike">
                <a:solidFill>
                  <a:srgbClr val="000000"/>
                </a:solidFill>
                <a:uFill>
                  <a:solidFill>
                    <a:srgbClr val="ffffff"/>
                  </a:solidFill>
                </a:uFill>
                <a:latin typeface="Calibri"/>
              </a:defRPr>
            </a:pPr>
          </a:p>
        </c:txPr>
        <c:crossAx val="7200896"/>
        <c:crosses val="autoZero"/>
        <c:crossBetween val="midCat"/>
      </c:valAx>
      <c:spPr>
        <a:solidFill>
          <a:srgbClr val="ffffff"/>
        </a:solidFill>
        <a:ln>
          <a:noFill/>
        </a:ln>
      </c:spPr>
    </c:plotArea>
    <c:legend>
      <c:layout>
        <c:manualLayout>
          <c:xMode val="edge"/>
          <c:yMode val="edge"/>
          <c:x val="0.850122249388753"/>
          <c:y val="0.208787832232294"/>
        </c:manualLayout>
      </c:layout>
      <c:spPr>
        <a:noFill/>
        <a:ln>
          <a:noFill/>
        </a:ln>
      </c:spPr>
    </c:legend>
    <c:plotVisOnly val="1"/>
    <c:dispBlanksAs val="gap"/>
  </c:chart>
  <c:spPr>
    <a:solidFill>
      <a:srgbClr val="ffffff"/>
    </a:solidFill>
    <a:ln>
      <a:noFill/>
    </a:ln>
  </c:spPr>
</c:chartSpace>
</file>

<file path=xl/charts/chart9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12143439282804"/>
          <c:y val="0.0714504753143208"/>
          <c:w val="0.63398533007335"/>
          <c:h val="0.649800674639681"/>
        </c:manualLayout>
      </c:layout>
      <c:barChart>
        <c:barDir val="col"/>
        <c:grouping val="stacked"/>
        <c:varyColors val="0"/>
        <c:ser>
          <c:idx val="0"/>
          <c:order val="0"/>
          <c:tx>
            <c:strRef>
              <c:f>'T. PAES'!$A$42</c:f>
              <c:strCache>
                <c:ptCount val="1"/>
                <c:pt idx="0">
                  <c:v>Fueloil</c:v>
                </c:pt>
              </c:strCache>
            </c:strRef>
          </c:tx>
          <c:spPr>
            <a:solidFill>
              <a:srgbClr val="f79646"/>
            </a:solidFill>
            <a:ln>
              <a:noFill/>
            </a:ln>
          </c:spPr>
          <c:invertIfNegative val="0"/>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PAES'!$B$42:$G$42</c:f>
              <c:numCache>
                <c:formatCode>General</c:formatCode>
                <c:ptCount val="6"/>
                <c:pt idx="0">
                  <c:v>0.0836119474599058</c:v>
                </c:pt>
                <c:pt idx="1">
                  <c:v>0.0822135848331716</c:v>
                </c:pt>
                <c:pt idx="2">
                  <c:v>0.0883690522393922</c:v>
                </c:pt>
                <c:pt idx="3">
                  <c:v>0.100312391567398</c:v>
                </c:pt>
                <c:pt idx="4">
                  <c:v>0</c:v>
                </c:pt>
                <c:pt idx="5">
                  <c:v>0</c:v>
                </c:pt>
              </c:numCache>
            </c:numRef>
          </c:val>
        </c:ser>
        <c:ser>
          <c:idx val="1"/>
          <c:order val="1"/>
          <c:tx>
            <c:strRef>
              <c:f>'T. PAES'!$A$41</c:f>
              <c:strCache>
                <c:ptCount val="1"/>
                <c:pt idx="0">
                  <c:v>Gasolina</c:v>
                </c:pt>
              </c:strCache>
            </c:strRef>
          </c:tx>
          <c:spPr>
            <a:solidFill>
              <a:srgbClr val="4bacc6"/>
            </a:solidFill>
            <a:ln>
              <a:noFill/>
            </a:ln>
          </c:spPr>
          <c:invertIfNegative val="0"/>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PAES'!$B$41:$G$41</c:f>
              <c:numCache>
                <c:formatCode>General</c:formatCode>
                <c:ptCount val="6"/>
                <c:pt idx="0">
                  <c:v>8674.37102990949</c:v>
                </c:pt>
                <c:pt idx="1">
                  <c:v>8816.97531311874</c:v>
                </c:pt>
                <c:pt idx="2">
                  <c:v>8763.94112631185</c:v>
                </c:pt>
                <c:pt idx="3">
                  <c:v>8354.85660882202</c:v>
                </c:pt>
                <c:pt idx="4">
                  <c:v>7964.46323878046</c:v>
                </c:pt>
                <c:pt idx="5">
                  <c:v>7675.17562955173</c:v>
                </c:pt>
              </c:numCache>
            </c:numRef>
          </c:val>
        </c:ser>
        <c:ser>
          <c:idx val="2"/>
          <c:order val="2"/>
          <c:tx>
            <c:strRef>
              <c:f>'T. PAES'!$A$40</c:f>
              <c:strCache>
                <c:ptCount val="1"/>
                <c:pt idx="0">
                  <c:v>Gasoil</c:v>
                </c:pt>
              </c:strCache>
            </c:strRef>
          </c:tx>
          <c:spPr>
            <a:solidFill>
              <a:srgbClr val="4f81bd"/>
            </a:solidFill>
            <a:ln>
              <a:noFill/>
            </a:ln>
          </c:spPr>
          <c:invertIfNegative val="0"/>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PAES'!$B$40:$G$40</c:f>
              <c:numCache>
                <c:formatCode>General</c:formatCode>
                <c:ptCount val="6"/>
                <c:pt idx="0">
                  <c:v>26747.4862918079</c:v>
                </c:pt>
                <c:pt idx="1">
                  <c:v>30205.249855007</c:v>
                </c:pt>
                <c:pt idx="2">
                  <c:v>32749.6121916254</c:v>
                </c:pt>
                <c:pt idx="3">
                  <c:v>30653.586889342</c:v>
                </c:pt>
                <c:pt idx="4">
                  <c:v>28760.4433517767</c:v>
                </c:pt>
                <c:pt idx="5">
                  <c:v>25743.0867230297</c:v>
                </c:pt>
              </c:numCache>
            </c:numRef>
          </c:val>
        </c:ser>
        <c:ser>
          <c:idx val="3"/>
          <c:order val="3"/>
          <c:tx>
            <c:strRef>
              <c:f>'T. PAES'!$A$39</c:f>
              <c:strCache>
                <c:ptCount val="1"/>
                <c:pt idx="0">
                  <c:v>GLP</c:v>
                </c:pt>
              </c:strCache>
            </c:strRef>
          </c:tx>
          <c:spPr>
            <a:solidFill>
              <a:srgbClr val="c0504d"/>
            </a:solidFill>
            <a:ln>
              <a:noFill/>
            </a:ln>
          </c:spPr>
          <c:invertIfNegative val="0"/>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PAES'!$B$39:$G$39</c:f>
              <c:numCache>
                <c:formatCode>General</c:formatCode>
                <c:ptCount val="6"/>
                <c:pt idx="0">
                  <c:v>2782.55871079912</c:v>
                </c:pt>
                <c:pt idx="1">
                  <c:v>2625.38608421167</c:v>
                </c:pt>
                <c:pt idx="2">
                  <c:v>2450.48068695622</c:v>
                </c:pt>
                <c:pt idx="3">
                  <c:v>2381.0588960954</c:v>
                </c:pt>
                <c:pt idx="4">
                  <c:v>2232.4182872772</c:v>
                </c:pt>
                <c:pt idx="5">
                  <c:v>2052.73986725021</c:v>
                </c:pt>
              </c:numCache>
            </c:numRef>
          </c:val>
        </c:ser>
        <c:ser>
          <c:idx val="4"/>
          <c:order val="4"/>
          <c:tx>
            <c:strRef>
              <c:f>'T. PAES'!$A$38</c:f>
              <c:strCache>
                <c:ptCount val="1"/>
                <c:pt idx="0">
                  <c:v/>
                </c:pt>
              </c:strCache>
            </c:strRef>
          </c:tx>
          <c:spPr>
            <a:solidFill>
              <a:srgbClr val="9bbb59"/>
            </a:solidFill>
            <a:ln>
              <a:noFill/>
            </a:ln>
          </c:spPr>
          <c:invertIfNegative val="0"/>
          <c:cat>
            <c:strRef>
              <c:f>'T. PAES'!$B$36:$G$36</c:f>
              <c:strCache>
                <c:ptCount val="6"/>
                <c:pt idx="0">
                  <c:v>2005</c:v>
                </c:pt>
                <c:pt idx="1">
                  <c:v>2006</c:v>
                </c:pt>
                <c:pt idx="2">
                  <c:v>2007</c:v>
                </c:pt>
                <c:pt idx="3">
                  <c:v>2008</c:v>
                </c:pt>
                <c:pt idx="4">
                  <c:v>2009</c:v>
                </c:pt>
                <c:pt idx="5">
                  <c:v>2010</c:v>
                </c:pt>
              </c:strCache>
            </c:strRef>
          </c:cat>
          <c:val>
            <c:numRef>
              <c:f>'T. PAES'!$B$38:$G$38</c:f>
              <c:numCache>
                <c:formatCode>General</c:formatCode>
                <c:ptCount val="0"/>
              </c:numCache>
            </c:numRef>
          </c:val>
        </c:ser>
        <c:ser>
          <c:idx val="5"/>
          <c:order val="5"/>
          <c:tx>
            <c:strRef>
              <c:f>'T. PAES'!$A$37</c:f>
              <c:strCache>
                <c:ptCount val="1"/>
                <c:pt idx="0">
                  <c:v>EE</c:v>
                </c:pt>
              </c:strCache>
            </c:strRef>
          </c:tx>
          <c:spPr>
            <a:solidFill>
              <a:srgbClr val="8064a2"/>
            </a:solidFill>
            <a:ln>
              <a:noFill/>
            </a:ln>
          </c:spPr>
          <c:invertIfNegative val="0"/>
          <c:dLbls>
            <c:showLegendKey val="0"/>
            <c:showVal val="0"/>
            <c:showCatName val="0"/>
            <c:showSerName val="0"/>
            <c:showPercent val="0"/>
            <c:showLeaderLines val="0"/>
          </c:dLbls>
          <c:cat>
            <c:strRef>
              <c:f>'T. PAES'!$B$36:$G$36</c:f>
              <c:strCache>
                <c:ptCount val="6"/>
                <c:pt idx="0">
                  <c:v>2005</c:v>
                </c:pt>
                <c:pt idx="1">
                  <c:v>2006</c:v>
                </c:pt>
                <c:pt idx="2">
                  <c:v>2007</c:v>
                </c:pt>
                <c:pt idx="3">
                  <c:v>2008</c:v>
                </c:pt>
                <c:pt idx="4">
                  <c:v>2009</c:v>
                </c:pt>
                <c:pt idx="5">
                  <c:v>2010</c:v>
                </c:pt>
              </c:strCache>
            </c:strRef>
          </c:cat>
          <c:val>
            <c:numRef>
              <c:f>'T. PAES'!$B$37:$G$37</c:f>
              <c:numCache>
                <c:formatCode>General</c:formatCode>
                <c:ptCount val="6"/>
                <c:pt idx="0">
                  <c:v>61471.4548355284</c:v>
                </c:pt>
                <c:pt idx="1">
                  <c:v>68533.7254366151</c:v>
                </c:pt>
                <c:pt idx="2">
                  <c:v>63217.3843373664</c:v>
                </c:pt>
                <c:pt idx="3">
                  <c:v>63552.0903173024</c:v>
                </c:pt>
                <c:pt idx="4">
                  <c:v>65254.5976912725</c:v>
                </c:pt>
                <c:pt idx="5">
                  <c:v>66858.8104937447</c:v>
                </c:pt>
              </c:numCache>
            </c:numRef>
          </c:val>
        </c:ser>
        <c:gapWidth val="150"/>
        <c:overlap val="100"/>
        <c:axId val="35484668"/>
        <c:axId val="90502474"/>
      </c:barChart>
      <c:catAx>
        <c:axId val="35484668"/>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90502474"/>
        <c:crosses val="autoZero"/>
        <c:auto val="1"/>
        <c:lblAlgn val="ctr"/>
        <c:lblOffset val="100"/>
      </c:catAx>
      <c:valAx>
        <c:axId val="90502474"/>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PAES</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35484668"/>
        <c:crosses val="autoZero"/>
        <c:crossBetween val="midCat"/>
      </c:valAx>
      <c:spPr>
        <a:solidFill>
          <a:srgbClr val="ffffff"/>
        </a:solidFill>
        <a:ln>
          <a:noFill/>
        </a:ln>
      </c:spPr>
    </c:plotArea>
    <c:legend>
      <c:layout>
        <c:manualLayout>
          <c:xMode val="edge"/>
          <c:yMode val="edge"/>
          <c:x val="0.858598207008965"/>
          <c:y val="0.208678319533885"/>
        </c:manualLayout>
      </c:layout>
      <c:spPr>
        <a:noFill/>
        <a:ln>
          <a:noFill/>
        </a:ln>
      </c:spPr>
    </c:legend>
    <c:plotVisOnly val="1"/>
    <c:dispBlanksAs val="gap"/>
  </c:chart>
  <c:spPr>
    <a:solidFill>
      <a:srgbClr val="ffffff"/>
    </a:solidFill>
    <a:ln>
      <a:noFill/>
    </a:ln>
  </c:spPr>
</c:chartSpace>
</file>

<file path=xl/charts/chart9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7028599524707"/>
          <c:y val="0.0714613618974751"/>
          <c:w val="0.563631893796607"/>
          <c:h val="0.649885233358837"/>
        </c:manualLayout>
      </c:layout>
      <c:barChart>
        <c:barDir val="col"/>
        <c:grouping val="stacked"/>
        <c:varyColors val="0"/>
        <c:ser>
          <c:idx val="0"/>
          <c:order val="0"/>
          <c:tx>
            <c:strRef>
              <c:f>'T. PAES'!$A$56</c:f>
              <c:strCache>
                <c:ptCount val="1"/>
                <c:pt idx="0">
                  <c:v>Aigua</c:v>
                </c:pt>
              </c:strCache>
            </c:strRef>
          </c:tx>
          <c:spPr>
            <a:solidFill>
              <a:srgbClr val="4bacc6"/>
            </a:solidFill>
            <a:ln>
              <a:noFill/>
            </a:ln>
          </c:spPr>
          <c:invertIfNegative val="0"/>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PAES'!$B$56:$G$56</c:f>
              <c:numCache>
                <c:formatCode>General</c:formatCode>
                <c:ptCount val="6"/>
                <c:pt idx="0">
                  <c:v>5995.91889</c:v>
                </c:pt>
                <c:pt idx="1">
                  <c:v>6675.81246</c:v>
                </c:pt>
                <c:pt idx="2">
                  <c:v>6770.58768</c:v>
                </c:pt>
                <c:pt idx="3">
                  <c:v>7106.3724</c:v>
                </c:pt>
                <c:pt idx="4">
                  <c:v>7323.80208</c:v>
                </c:pt>
                <c:pt idx="5">
                  <c:v>4559.93507</c:v>
                </c:pt>
              </c:numCache>
            </c:numRef>
          </c:val>
        </c:ser>
        <c:ser>
          <c:idx val="1"/>
          <c:order val="1"/>
          <c:tx>
            <c:strRef>
              <c:f>'T. PAES'!$A$55</c:f>
              <c:strCache>
                <c:ptCount val="1"/>
                <c:pt idx="0">
                  <c:v>Transport</c:v>
                </c:pt>
              </c:strCache>
            </c:strRef>
          </c:tx>
          <c:spPr>
            <a:solidFill>
              <a:srgbClr val="9bbb59"/>
            </a:solidFill>
            <a:ln>
              <a:noFill/>
            </a:ln>
          </c:spPr>
          <c:invertIfNegative val="0"/>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PAES'!$B$55:$G$55</c:f>
              <c:numCache>
                <c:formatCode>General</c:formatCode>
                <c:ptCount val="6"/>
                <c:pt idx="0">
                  <c:v>87085.2108593324</c:v>
                </c:pt>
                <c:pt idx="1">
                  <c:v>91373.5963198209</c:v>
                </c:pt>
                <c:pt idx="2">
                  <c:v>95465.9694602215</c:v>
                </c:pt>
                <c:pt idx="3">
                  <c:v>93525.8419992048</c:v>
                </c:pt>
                <c:pt idx="4">
                  <c:v>89315.9404665966</c:v>
                </c:pt>
                <c:pt idx="5">
                  <c:v>86964.2769444402</c:v>
                </c:pt>
              </c:numCache>
            </c:numRef>
          </c:val>
        </c:ser>
        <c:ser>
          <c:idx val="2"/>
          <c:order val="2"/>
          <c:tx>
            <c:strRef>
              <c:f>'T. PAES'!$A$54</c:f>
              <c:strCache>
                <c:ptCount val="1"/>
                <c:pt idx="0">
                  <c:v>Domèstic</c:v>
                </c:pt>
              </c:strCache>
            </c:strRef>
          </c:tx>
          <c:spPr>
            <a:solidFill>
              <a:srgbClr val="c0504d"/>
            </a:solidFill>
            <a:ln>
              <a:noFill/>
            </a:ln>
          </c:spPr>
          <c:invertIfNegative val="0"/>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PAES'!$B$54:$G$54</c:f>
              <c:numCache>
                <c:formatCode>General</c:formatCode>
                <c:ptCount val="6"/>
                <c:pt idx="0">
                  <c:v>72157.5889450002</c:v>
                </c:pt>
                <c:pt idx="1">
                  <c:v>77244.8108713911</c:v>
                </c:pt>
                <c:pt idx="2">
                  <c:v>81155.7216523405</c:v>
                </c:pt>
                <c:pt idx="3">
                  <c:v>77810.8814395767</c:v>
                </c:pt>
                <c:pt idx="4">
                  <c:v>74107.3940507986</c:v>
                </c:pt>
                <c:pt idx="5">
                  <c:v>73595.575928495</c:v>
                </c:pt>
              </c:numCache>
            </c:numRef>
          </c:val>
        </c:ser>
        <c:ser>
          <c:idx val="3"/>
          <c:order val="3"/>
          <c:tx>
            <c:strRef>
              <c:f>'T. PAES'!$A$53</c:f>
              <c:strCache>
                <c:ptCount val="1"/>
                <c:pt idx="0">
                  <c:v>Serveis</c:v>
                </c:pt>
              </c:strCache>
            </c:strRef>
          </c:tx>
          <c:spPr>
            <a:solidFill>
              <a:srgbClr val="4f81bd"/>
            </a:solidFill>
            <a:ln>
              <a:noFill/>
            </a:ln>
          </c:spPr>
          <c:invertIfNegative val="0"/>
          <c:dLbls>
            <c:showLegendKey val="0"/>
            <c:showVal val="0"/>
            <c:showCatName val="0"/>
            <c:showSerName val="0"/>
            <c:showPercent val="0"/>
            <c:showLeaderLines val="0"/>
          </c:dLbls>
          <c:cat>
            <c:strRef>
              <c:f>'T. PAES'!$B$52:$G$52</c:f>
              <c:strCache>
                <c:ptCount val="6"/>
                <c:pt idx="0">
                  <c:v>2005</c:v>
                </c:pt>
                <c:pt idx="1">
                  <c:v>2006</c:v>
                </c:pt>
                <c:pt idx="2">
                  <c:v>2007</c:v>
                </c:pt>
                <c:pt idx="3">
                  <c:v>2008</c:v>
                </c:pt>
                <c:pt idx="4">
                  <c:v>2009</c:v>
                </c:pt>
                <c:pt idx="5">
                  <c:v>2010</c:v>
                </c:pt>
              </c:strCache>
            </c:strRef>
          </c:cat>
          <c:val>
            <c:numRef>
              <c:f>'T. PAES'!$B$53:$G$53</c:f>
              <c:numCache>
                <c:formatCode>General</c:formatCode>
                <c:ptCount val="6"/>
                <c:pt idx="0">
                  <c:v>53048.5724228357</c:v>
                </c:pt>
                <c:pt idx="1">
                  <c:v>58521.2334756521</c:v>
                </c:pt>
                <c:pt idx="2">
                  <c:v>60631.2329149267</c:v>
                </c:pt>
                <c:pt idx="3">
                  <c:v>55664.131999549</c:v>
                </c:pt>
                <c:pt idx="4">
                  <c:v>54258.8961833933</c:v>
                </c:pt>
                <c:pt idx="5">
                  <c:v>48642.070491704</c:v>
                </c:pt>
              </c:numCache>
            </c:numRef>
          </c:val>
        </c:ser>
        <c:gapWidth val="150"/>
        <c:overlap val="100"/>
        <c:axId val="69959009"/>
        <c:axId val="52622536"/>
      </c:barChart>
      <c:catAx>
        <c:axId val="69959009"/>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2622536"/>
        <c:crosses val="autoZero"/>
        <c:auto val="1"/>
        <c:lblAlgn val="ctr"/>
        <c:lblOffset val="100"/>
      </c:catAx>
      <c:valAx>
        <c:axId val="52622536"/>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PAES</a:t>
                </a:r>
              </a:p>
            </c:rich>
          </c:tx>
          <c:layout>
            <c:manualLayout>
              <c:xMode val="edge"/>
              <c:yMode val="edge"/>
              <c:x val="0.00450708842088011"/>
              <c:y val="0.232899770466718"/>
            </c:manualLayout>
          </c:layout>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69959009"/>
        <c:crosses val="autoZero"/>
        <c:crossBetween val="midCat"/>
      </c:valAx>
      <c:spPr>
        <a:solidFill>
          <a:srgbClr val="ffffff"/>
        </a:solidFill>
        <a:ln>
          <a:noFill/>
        </a:ln>
      </c:spPr>
    </c:plotArea>
    <c:legend>
      <c:layout>
        <c:manualLayout>
          <c:xMode val="edge"/>
          <c:yMode val="edge"/>
          <c:x val="0.733999836105876"/>
          <c:y val="0.0927314460596787"/>
        </c:manualLayout>
      </c:layout>
      <c:spPr>
        <a:noFill/>
        <a:ln>
          <a:noFill/>
        </a:ln>
      </c:spPr>
    </c:legend>
    <c:plotVisOnly val="1"/>
    <c:dispBlanksAs val="gap"/>
  </c:chart>
  <c:spPr>
    <a:solidFill>
      <a:srgbClr val="ffffff"/>
    </a:solidFill>
    <a:ln>
      <a:noFill/>
    </a:ln>
  </c:spPr>
</c:chartSpace>
</file>

<file path=xl/charts/chart9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70252648736756"/>
          <c:y val="0.0714504283965728"/>
          <c:w val="0.59160554197229"/>
          <c:h val="0.649785801713586"/>
        </c:manualLayout>
      </c:layout>
      <c:barChart>
        <c:barDir val="col"/>
        <c:grouping val="stacked"/>
        <c:varyColors val="0"/>
        <c:ser>
          <c:idx val="0"/>
          <c:order val="0"/>
          <c:tx>
            <c:strRef>
              <c:f>'T. PAES'!$A$70</c:f>
              <c:strCache>
                <c:ptCount val="1"/>
                <c:pt idx="0">
                  <c:v>Aigua</c:v>
                </c:pt>
              </c:strCache>
            </c:strRef>
          </c:tx>
          <c:spPr>
            <a:solidFill>
              <a:srgbClr val="c0504d"/>
            </a:solidFill>
            <a:ln>
              <a:noFill/>
            </a:ln>
          </c:spPr>
          <c:invertIfNegative val="0"/>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PAES'!$B$70:$G$70</c:f>
              <c:numCache>
                <c:formatCode>General</c:formatCode>
                <c:ptCount val="6"/>
                <c:pt idx="0">
                  <c:v>5059.356359382</c:v>
                </c:pt>
                <c:pt idx="1">
                  <c:v>6064.308038664</c:v>
                </c:pt>
                <c:pt idx="2">
                  <c:v>5559.329544048</c:v>
                </c:pt>
                <c:pt idx="3">
                  <c:v>5878.39124928</c:v>
                </c:pt>
                <c:pt idx="4">
                  <c:v>6211.316544048</c:v>
                </c:pt>
                <c:pt idx="5">
                  <c:v>3867.280932867</c:v>
                </c:pt>
              </c:numCache>
            </c:numRef>
          </c:val>
        </c:ser>
        <c:ser>
          <c:idx val="1"/>
          <c:order val="1"/>
          <c:tx>
            <c:strRef>
              <c:f>'T. PAES'!$A$69</c:f>
              <c:strCache>
                <c:ptCount val="1"/>
                <c:pt idx="0">
                  <c:v>Residus</c:v>
                </c:pt>
              </c:strCache>
            </c:strRef>
          </c:tx>
          <c:spPr>
            <a:solidFill>
              <a:srgbClr val="9bbb59"/>
            </a:solidFill>
            <a:ln>
              <a:noFill/>
            </a:ln>
          </c:spPr>
          <c:invertIfNegative val="0"/>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PAES'!$B$69:$G$69</c:f>
              <c:numCache>
                <c:formatCode>General</c:formatCode>
                <c:ptCount val="6"/>
                <c:pt idx="0">
                  <c:v>8729.33717074606</c:v>
                </c:pt>
                <c:pt idx="1">
                  <c:v>9238.7148318758</c:v>
                </c:pt>
                <c:pt idx="2">
                  <c:v>10218.822147659</c:v>
                </c:pt>
                <c:pt idx="3">
                  <c:v>8981.01779429749</c:v>
                </c:pt>
                <c:pt idx="4">
                  <c:v>8007.43090743706</c:v>
                </c:pt>
                <c:pt idx="5">
                  <c:v>8033.92078866066</c:v>
                </c:pt>
              </c:numCache>
            </c:numRef>
          </c:val>
        </c:ser>
        <c:ser>
          <c:idx val="2"/>
          <c:order val="2"/>
          <c:tx>
            <c:strRef>
              <c:f>'T. PAES'!$A$68</c:f>
              <c:strCache>
                <c:ptCount val="1"/>
                <c:pt idx="0">
                  <c:v>Transport</c:v>
                </c:pt>
              </c:strCache>
            </c:strRef>
          </c:tx>
          <c:spPr>
            <a:solidFill>
              <a:srgbClr val="8064a2"/>
            </a:solidFill>
            <a:ln>
              <a:noFill/>
            </a:ln>
          </c:spPr>
          <c:invertIfNegative val="0"/>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PAES'!$B$68:$G$68</c:f>
              <c:numCache>
                <c:formatCode>General</c:formatCode>
                <c:ptCount val="6"/>
                <c:pt idx="0">
                  <c:v>22624.6883334242</c:v>
                </c:pt>
                <c:pt idx="1">
                  <c:v>23759.3785080101</c:v>
                </c:pt>
                <c:pt idx="2">
                  <c:v>24855.8759331337</c:v>
                </c:pt>
                <c:pt idx="3">
                  <c:v>24367.4342758006</c:v>
                </c:pt>
                <c:pt idx="4">
                  <c:v>23271.611774067</c:v>
                </c:pt>
                <c:pt idx="5">
                  <c:v>22664.6299709449</c:v>
                </c:pt>
              </c:numCache>
            </c:numRef>
          </c:val>
        </c:ser>
        <c:ser>
          <c:idx val="3"/>
          <c:order val="3"/>
          <c:tx>
            <c:strRef>
              <c:f>'T. PAES'!$A$67</c:f>
              <c:strCache>
                <c:ptCount val="1"/>
                <c:pt idx="0">
                  <c:v>Domèstic</c:v>
                </c:pt>
              </c:strCache>
            </c:strRef>
          </c:tx>
          <c:spPr>
            <a:solidFill>
              <a:srgbClr val="4bacc6"/>
            </a:solidFill>
            <a:ln>
              <a:noFill/>
            </a:ln>
          </c:spPr>
          <c:invertIfNegative val="0"/>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PAES'!$B$67:$G$67</c:f>
              <c:numCache>
                <c:formatCode>General</c:formatCode>
                <c:ptCount val="6"/>
                <c:pt idx="0">
                  <c:v>44543.4785467151</c:v>
                </c:pt>
                <c:pt idx="1">
                  <c:v>49471.8977830614</c:v>
                </c:pt>
                <c:pt idx="2">
                  <c:v>47802.6338104749</c:v>
                </c:pt>
                <c:pt idx="3">
                  <c:v>47363.936222367</c:v>
                </c:pt>
                <c:pt idx="4">
                  <c:v>46531.6593420632</c:v>
                </c:pt>
                <c:pt idx="5">
                  <c:v>49294.2576595082</c:v>
                </c:pt>
              </c:numCache>
            </c:numRef>
          </c:val>
        </c:ser>
        <c:ser>
          <c:idx val="4"/>
          <c:order val="4"/>
          <c:tx>
            <c:strRef>
              <c:f>'T. PAES'!$A$66</c:f>
              <c:strCache>
                <c:ptCount val="1"/>
                <c:pt idx="0">
                  <c:v>Serveis</c:v>
                </c:pt>
              </c:strCache>
            </c:strRef>
          </c:tx>
          <c:spPr>
            <a:solidFill>
              <a:srgbClr val="f79646"/>
            </a:solidFill>
            <a:ln>
              <a:noFill/>
            </a:ln>
          </c:spPr>
          <c:invertIfNegative val="0"/>
          <c:dLbls>
            <c:showLegendKey val="0"/>
            <c:showVal val="0"/>
            <c:showCatName val="0"/>
            <c:showSerName val="0"/>
            <c:showPercent val="0"/>
            <c:showLeaderLines val="0"/>
          </c:dLbls>
          <c:cat>
            <c:strRef>
              <c:f>'T. PAES'!$B$65:$G$65</c:f>
              <c:strCache>
                <c:ptCount val="6"/>
                <c:pt idx="0">
                  <c:v>2005</c:v>
                </c:pt>
                <c:pt idx="1">
                  <c:v>2006</c:v>
                </c:pt>
                <c:pt idx="2">
                  <c:v>2007</c:v>
                </c:pt>
                <c:pt idx="3">
                  <c:v>2008</c:v>
                </c:pt>
                <c:pt idx="4">
                  <c:v>2009</c:v>
                </c:pt>
                <c:pt idx="5">
                  <c:v>2010</c:v>
                </c:pt>
              </c:strCache>
            </c:strRef>
          </c:cat>
          <c:val>
            <c:numRef>
              <c:f>'T. PAES'!$B$66:$G$66</c:f>
              <c:numCache>
                <c:formatCode>General</c:formatCode>
                <c:ptCount val="6"/>
                <c:pt idx="0">
                  <c:v>27448.431240471</c:v>
                </c:pt>
                <c:pt idx="1">
                  <c:v>30885.8345728018</c:v>
                </c:pt>
                <c:pt idx="2">
                  <c:v>28963.6674236554</c:v>
                </c:pt>
                <c:pt idx="3">
                  <c:v>27331.9312765058</c:v>
                </c:pt>
                <c:pt idx="4">
                  <c:v>28197.3349089287</c:v>
                </c:pt>
                <c:pt idx="5">
                  <c:v>26503.6441502563</c:v>
                </c:pt>
              </c:numCache>
            </c:numRef>
          </c:val>
        </c:ser>
        <c:gapWidth val="150"/>
        <c:overlap val="100"/>
        <c:axId val="82236425"/>
        <c:axId val="50004797"/>
      </c:barChart>
      <c:catAx>
        <c:axId val="8223642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0004797"/>
        <c:crosses val="autoZero"/>
        <c:auto val="1"/>
        <c:lblAlgn val="ctr"/>
        <c:lblOffset val="100"/>
      </c:catAx>
      <c:valAx>
        <c:axId val="50004797"/>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t CO2  PAES</a:t>
                </a:r>
              </a:p>
            </c:rich>
          </c:tx>
          <c:layout>
            <c:manualLayout>
              <c:xMode val="edge"/>
              <c:yMode val="edge"/>
              <c:x val="0.00448247758761206"/>
              <c:y val="0.232864137086903"/>
            </c:manualLayout>
          </c:layout>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2236425"/>
        <c:crosses val="autoZero"/>
        <c:crossBetween val="midCat"/>
      </c:valAx>
      <c:spPr>
        <a:solidFill>
          <a:srgbClr val="ffffff"/>
        </a:solidFill>
        <a:ln>
          <a:noFill/>
        </a:ln>
      </c:spPr>
    </c:plotArea>
    <c:legend>
      <c:layout>
        <c:manualLayout>
          <c:xMode val="edge"/>
          <c:yMode val="edge"/>
          <c:x val="0.78638956805216"/>
          <c:y val="0.0541615667074663"/>
        </c:manualLayout>
      </c:layout>
      <c:spPr>
        <a:noFill/>
        <a:ln>
          <a:noFill/>
        </a:ln>
      </c:spPr>
    </c:legend>
    <c:plotVisOnly val="1"/>
    <c:dispBlanksAs val="gap"/>
  </c:chart>
  <c:spPr>
    <a:solidFill>
      <a:srgbClr val="ffffff"/>
    </a:solidFill>
    <a:ln>
      <a:noFill/>
    </a:ln>
  </c:spPr>
</c:chartSpace>
</file>

<file path=xl/charts/chart98.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clustered"/>
        <c:varyColors val="0"/>
        <c:ser>
          <c:idx val="0"/>
          <c:order val="0"/>
          <c:tx>
            <c:strRef>
              <c:f>'T. PAES'!$A$254</c:f>
              <c:strCache>
                <c:ptCount val="1"/>
                <c:pt idx="0">
                  <c:v>Aigua residual</c:v>
                </c:pt>
              </c:strCache>
            </c:strRef>
          </c:tx>
          <c:spPr>
            <a:solidFill>
              <a:srgbClr val="4f81bd"/>
            </a:solidFill>
            <a:ln>
              <a:noFill/>
            </a:ln>
          </c:spPr>
          <c:invertIfNegative val="0"/>
          <c:dLbls>
            <c:showLegendKey val="0"/>
            <c:showVal val="0"/>
            <c:showCatName val="0"/>
            <c:showSerName val="0"/>
            <c:showPercent val="0"/>
            <c:showLeaderLines val="0"/>
          </c:dLbls>
          <c:cat>
            <c:strRef>
              <c:f>'T. PAES'!$B$253:$G$253</c:f>
              <c:strCache>
                <c:ptCount val="6"/>
                <c:pt idx="0">
                  <c:v>2005</c:v>
                </c:pt>
                <c:pt idx="1">
                  <c:v>2006</c:v>
                </c:pt>
                <c:pt idx="2">
                  <c:v>2007</c:v>
                </c:pt>
                <c:pt idx="3">
                  <c:v>2008</c:v>
                </c:pt>
                <c:pt idx="4">
                  <c:v>2009</c:v>
                </c:pt>
                <c:pt idx="5">
                  <c:v>2010</c:v>
                </c:pt>
              </c:strCache>
            </c:strRef>
          </c:cat>
          <c:val>
            <c:numRef>
              <c:f>'T. PAES'!$B$254:$G$254</c:f>
              <c:numCache>
                <c:formatCode>General</c:formatCode>
                <c:ptCount val="6"/>
                <c:pt idx="0">
                  <c:v>675231</c:v>
                </c:pt>
                <c:pt idx="1">
                  <c:v>728621</c:v>
                </c:pt>
                <c:pt idx="2">
                  <c:v>726673</c:v>
                </c:pt>
                <c:pt idx="3">
                  <c:v>764090</c:v>
                </c:pt>
                <c:pt idx="4">
                  <c:v>800072</c:v>
                </c:pt>
                <c:pt idx="5">
                  <c:v>1006811</c:v>
                </c:pt>
              </c:numCache>
            </c:numRef>
          </c:val>
        </c:ser>
        <c:gapWidth val="150"/>
        <c:overlap val="0"/>
        <c:axId val="28053135"/>
        <c:axId val="70587718"/>
      </c:barChart>
      <c:catAx>
        <c:axId val="2805313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70587718"/>
        <c:crosses val="autoZero"/>
        <c:auto val="1"/>
        <c:lblAlgn val="ctr"/>
        <c:lblOffset val="100"/>
      </c:catAx>
      <c:valAx>
        <c:axId val="70587718"/>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m3 aigües residuals</a:t>
                </a:r>
              </a:p>
            </c:rich>
          </c:tx>
          <c:overlay val="0"/>
        </c:title>
        <c:numFmt formatCode="#,##0" sourceLinked="0"/>
        <c:majorTickMark val="out"/>
        <c:minorTickMark val="none"/>
        <c:tickLblPos val="nextTo"/>
        <c:spPr>
          <a:ln w="9360">
            <a:solidFill>
              <a:srgbClr val="878787"/>
            </a:solidFill>
            <a:round/>
          </a:ln>
        </c:spPr>
        <c:txPr>
          <a:bodyPr/>
          <a:p>
            <a:pPr>
              <a:defRPr b="0" sz="1000" spc="-1" strike="noStrike">
                <a:solidFill>
                  <a:srgbClr val="000000"/>
                </a:solidFill>
                <a:uFill>
                  <a:solidFill>
                    <a:srgbClr val="ffffff"/>
                  </a:solidFill>
                </a:uFill>
                <a:latin typeface="Calibri"/>
              </a:defRPr>
            </a:pPr>
          </a:p>
        </c:txPr>
        <c:crossAx val="28053135"/>
        <c:crosses val="autoZero"/>
        <c:crossBetween val="midCat"/>
      </c:valAx>
      <c:spPr>
        <a:solidFill>
          <a:srgbClr val="ffffff"/>
        </a:solidFill>
        <a:ln>
          <a:noFill/>
        </a:ln>
      </c:spPr>
    </c:plotArea>
    <c:plotVisOnly val="1"/>
    <c:dispBlanksAs val="gap"/>
  </c:chart>
  <c:spPr>
    <a:solidFill>
      <a:srgbClr val="ffffff"/>
    </a:solidFill>
    <a:ln>
      <a:noFill/>
    </a:ln>
  </c:spPr>
</c:chartSpace>
</file>

<file path=xl/charts/chart99.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col"/>
        <c:grouping val="stacked"/>
        <c:varyColors val="0"/>
        <c:ser>
          <c:idx val="0"/>
          <c:order val="0"/>
          <c:tx>
            <c:strRef>
              <c:f>'T.AJUNTAMENT'!$A$17</c:f>
              <c:strCache>
                <c:ptCount val="1"/>
                <c:pt idx="0">
                  <c:v>EE</c:v>
                </c:pt>
              </c:strCache>
            </c:strRef>
          </c:tx>
          <c:spPr>
            <a:solidFill>
              <a:srgbClr val="f79646"/>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'T.AJUNTAMENT'!$B$17:$G$17</c:f>
              <c:numCache>
                <c:formatCode>General</c:formatCode>
                <c:ptCount val="6"/>
                <c:pt idx="0">
                  <c:v>8021.30115</c:v>
                </c:pt>
                <c:pt idx="1">
                  <c:v>8767.06912</c:v>
                </c:pt>
                <c:pt idx="2">
                  <c:v>8722.94726</c:v>
                </c:pt>
                <c:pt idx="3">
                  <c:v>9212.4988</c:v>
                </c:pt>
                <c:pt idx="4">
                  <c:v>9281.7222</c:v>
                </c:pt>
                <c:pt idx="5">
                  <c:v>6187.73913</c:v>
                </c:pt>
              </c:numCache>
            </c:numRef>
          </c:val>
        </c:ser>
        <c:ser>
          <c:idx val="1"/>
          <c:order val="1"/>
          <c:tx>
            <c:strRef>
              <c:f>'T.AJUNTAMENT'!$A$18</c:f>
              <c:strCache>
                <c:ptCount val="1"/>
                <c:pt idx="0">
                  <c:v>GN</c:v>
                </c:pt>
              </c:strCache>
            </c:strRef>
          </c:tx>
          <c:spPr>
            <a:solidFill>
              <a:srgbClr val="c0504d"/>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'T.AJUNTAMENT'!$B$18:$G$18</c:f>
              <c:numCache>
                <c:formatCode>General</c:formatCode>
                <c:ptCount val="6"/>
                <c:pt idx="0">
                  <c:v>0</c:v>
                </c:pt>
                <c:pt idx="1">
                  <c:v>0</c:v>
                </c:pt>
                <c:pt idx="2">
                  <c:v>0</c:v>
                </c:pt>
                <c:pt idx="3">
                  <c:v>0</c:v>
                </c:pt>
                <c:pt idx="4">
                  <c:v>0</c:v>
                </c:pt>
                <c:pt idx="5">
                  <c:v>0</c:v>
                </c:pt>
              </c:numCache>
            </c:numRef>
          </c:val>
        </c:ser>
        <c:ser>
          <c:idx val="2"/>
          <c:order val="2"/>
          <c:tx>
            <c:strRef>
              <c:f>'T.AJUNTAMENT'!$A$19</c:f>
              <c:strCache>
                <c:ptCount val="1"/>
                <c:pt idx="0">
                  <c:v>GLP</c:v>
                </c:pt>
              </c:strCache>
            </c:strRef>
          </c:tx>
          <c:spPr>
            <a:solidFill>
              <a:srgbClr val="4bacc6"/>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'T.AJUNTAMENT'!$B$19:$G$19</c:f>
              <c:numCache>
                <c:formatCode>General</c:formatCode>
                <c:ptCount val="6"/>
                <c:pt idx="0">
                  <c:v>172.469534883721</c:v>
                </c:pt>
                <c:pt idx="1">
                  <c:v>172.469534883721</c:v>
                </c:pt>
                <c:pt idx="2">
                  <c:v>172.469534883721</c:v>
                </c:pt>
                <c:pt idx="3">
                  <c:v>172.469534883721</c:v>
                </c:pt>
                <c:pt idx="4">
                  <c:v>172.469534883721</c:v>
                </c:pt>
                <c:pt idx="5">
                  <c:v>172.469534883721</c:v>
                </c:pt>
              </c:numCache>
            </c:numRef>
          </c:val>
        </c:ser>
        <c:ser>
          <c:idx val="3"/>
          <c:order val="3"/>
          <c:tx>
            <c:strRef>
              <c:f>'T.AJUNTAMENT'!$A$20</c:f>
              <c:strCache>
                <c:ptCount val="1"/>
                <c:pt idx="0">
                  <c:v>Gasoil</c:v>
                </c:pt>
              </c:strCache>
            </c:strRef>
          </c:tx>
          <c:spPr>
            <a:solidFill>
              <a:srgbClr val="8064a2"/>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'T.AJUNTAMENT'!$B$20:$G$20</c:f>
              <c:numCache>
                <c:formatCode>General</c:formatCode>
                <c:ptCount val="6"/>
                <c:pt idx="0">
                  <c:v>1849.50110385</c:v>
                </c:pt>
                <c:pt idx="1">
                  <c:v>2023.16116885</c:v>
                </c:pt>
                <c:pt idx="2">
                  <c:v>2023.16116885</c:v>
                </c:pt>
                <c:pt idx="3">
                  <c:v>2023.16116885</c:v>
                </c:pt>
                <c:pt idx="4">
                  <c:v>2023.16116885</c:v>
                </c:pt>
                <c:pt idx="5">
                  <c:v>2060.11011885</c:v>
                </c:pt>
              </c:numCache>
            </c:numRef>
          </c:val>
        </c:ser>
        <c:ser>
          <c:idx val="4"/>
          <c:order val="4"/>
          <c:tx>
            <c:strRef>
              <c:f>'T.AJUNTAMENT'!$A$21</c:f>
              <c:strCache>
                <c:ptCount val="1"/>
                <c:pt idx="0">
                  <c:v>Gasolina</c:v>
                </c:pt>
              </c:strCache>
            </c:strRef>
          </c:tx>
          <c:spPr>
            <a:solidFill>
              <a:srgbClr val="9bbb59"/>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'T.AJUNTAMENT'!$B$21:$G$21</c:f>
              <c:numCache>
                <c:formatCode>General</c:formatCode>
                <c:ptCount val="6"/>
                <c:pt idx="0">
                  <c:v>214.336395</c:v>
                </c:pt>
                <c:pt idx="1">
                  <c:v>347.02083</c:v>
                </c:pt>
                <c:pt idx="2">
                  <c:v>347.02083</c:v>
                </c:pt>
                <c:pt idx="3">
                  <c:v>347.02083</c:v>
                </c:pt>
                <c:pt idx="4">
                  <c:v>347.02083</c:v>
                </c:pt>
                <c:pt idx="5">
                  <c:v>347.02083</c:v>
                </c:pt>
              </c:numCache>
            </c:numRef>
          </c:val>
        </c:ser>
        <c:ser>
          <c:idx val="5"/>
          <c:order val="5"/>
          <c:tx>
            <c:strRef>
              <c:f>'T.AJUNTAMENT'!$A$22</c:f>
              <c:strCache>
                <c:ptCount val="1"/>
                <c:pt idx="0">
                  <c:v>Fueloil</c:v>
                </c:pt>
              </c:strCache>
            </c:strRef>
          </c:tx>
          <c:spPr>
            <a:solidFill>
              <a:srgbClr val="4f81bd"/>
            </a:solidFill>
            <a:ln>
              <a:noFill/>
            </a:ln>
          </c:spPr>
          <c:invertIfNegative val="0"/>
          <c:dLbls>
            <c:showLegendKey val="0"/>
            <c:showVal val="0"/>
            <c:showCatName val="0"/>
            <c:showSerName val="0"/>
            <c:showPercent val="0"/>
            <c:showLeaderLines val="0"/>
          </c:dLbls>
          <c:cat>
            <c:strRef>
              <c:f>'T.AJUNTAMENT'!$B$16:$G$16</c:f>
              <c:strCache>
                <c:ptCount val="6"/>
                <c:pt idx="0">
                  <c:v>2005</c:v>
                </c:pt>
                <c:pt idx="1">
                  <c:v>2006</c:v>
                </c:pt>
                <c:pt idx="2">
                  <c:v>2007</c:v>
                </c:pt>
                <c:pt idx="3">
                  <c:v>2008</c:v>
                </c:pt>
                <c:pt idx="4">
                  <c:v>2009</c:v>
                </c:pt>
                <c:pt idx="5">
                  <c:v>2010</c:v>
                </c:pt>
              </c:strCache>
            </c:strRef>
          </c:cat>
          <c:val>
            <c:numRef>
              <c:f>'T.AJUNTAMENT'!$B$22:$G$22</c:f>
              <c:numCache>
                <c:formatCode>General</c:formatCode>
                <c:ptCount val="6"/>
                <c:pt idx="0">
                  <c:v>0</c:v>
                </c:pt>
                <c:pt idx="1">
                  <c:v>0</c:v>
                </c:pt>
                <c:pt idx="2">
                  <c:v>0</c:v>
                </c:pt>
                <c:pt idx="3">
                  <c:v>0</c:v>
                </c:pt>
                <c:pt idx="4">
                  <c:v>0</c:v>
                </c:pt>
                <c:pt idx="5">
                  <c:v>0</c:v>
                </c:pt>
              </c:numCache>
            </c:numRef>
          </c:val>
        </c:ser>
        <c:gapWidth val="150"/>
        <c:overlap val="100"/>
        <c:axId val="86897565"/>
        <c:axId val="51237324"/>
      </c:barChart>
      <c:catAx>
        <c:axId val="86897565"/>
        <c:scaling>
          <c:orientation val="minMax"/>
        </c:scaling>
        <c:delete val="0"/>
        <c:axPos val="b"/>
        <c:numFmt formatCode="General" sourceLinked="1"/>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51237324"/>
        <c:crosses val="autoZero"/>
        <c:auto val="1"/>
        <c:lblAlgn val="ctr"/>
        <c:lblOffset val="100"/>
      </c:catAx>
      <c:valAx>
        <c:axId val="51237324"/>
        <c:scaling>
          <c:orientation val="minMax"/>
        </c:scaling>
        <c:delete val="0"/>
        <c:axPos val="l"/>
        <c:majorGridlines>
          <c:spPr>
            <a:ln w="9360">
              <a:solidFill>
                <a:srgbClr val="878787"/>
              </a:solidFill>
              <a:round/>
            </a:ln>
          </c:spPr>
        </c:majorGridlines>
        <c:title>
          <c:tx>
            <c:rich>
              <a:bodyPr rot="-5400000"/>
              <a:lstStyle/>
              <a:p>
                <a:pPr>
                  <a:defRPr b="1" sz="1000" spc="-1" strike="noStrike">
                    <a:solidFill>
                      <a:srgbClr val="000000"/>
                    </a:solidFill>
                    <a:uFill>
                      <a:solidFill>
                        <a:srgbClr val="ffffff"/>
                      </a:solidFill>
                    </a:uFill>
                    <a:latin typeface="Calibri"/>
                  </a:defRPr>
                </a:pPr>
                <a:r>
                  <a:rPr b="1" sz="1000" spc="-1" strike="noStrike">
                    <a:solidFill>
                      <a:srgbClr val="000000"/>
                    </a:solidFill>
                    <a:uFill>
                      <a:solidFill>
                        <a:srgbClr val="ffffff"/>
                      </a:solidFill>
                    </a:uFill>
                    <a:latin typeface="Calibri"/>
                  </a:rPr>
                  <a:t>Mwh Ajuntament</a:t>
                </a:r>
              </a:p>
            </c:rich>
          </c:tx>
          <c:overlay val="0"/>
        </c:title>
        <c:numFmt formatCode="#,##0" sourceLinked="0"/>
        <c:majorTickMark val="out"/>
        <c:minorTickMark val="none"/>
        <c:tickLblPos val="nextTo"/>
        <c:spPr>
          <a:ln w="9360">
            <a:solidFill>
              <a:srgbClr val="878787"/>
            </a:solidFill>
            <a:round/>
          </a:ln>
        </c:spPr>
        <c:txPr>
          <a:bodyPr/>
          <a:p>
            <a:pPr>
              <a:defRPr b="0" sz="800" spc="-1" strike="noStrike">
                <a:solidFill>
                  <a:srgbClr val="000000"/>
                </a:solidFill>
                <a:uFill>
                  <a:solidFill>
                    <a:srgbClr val="ffffff"/>
                  </a:solidFill>
                </a:uFill>
                <a:latin typeface="Calibri"/>
              </a:defRPr>
            </a:pPr>
          </a:p>
        </c:txPr>
        <c:crossAx val="86897565"/>
        <c:crosses val="autoZero"/>
        <c:crossBetween val="midCat"/>
      </c:valAx>
      <c:spPr>
        <a:solidFill>
          <a:srgbClr val="ffffff"/>
        </a:solidFill>
        <a:ln>
          <a:noFill/>
        </a:ln>
      </c:spPr>
    </c:plotArea>
    <c:legend>
      <c:legendPos val="r"/>
      <c:overlay val="0"/>
      <c:spPr>
        <a:noFill/>
        <a:ln>
          <a:noFill/>
        </a:ln>
      </c:spPr>
    </c:legend>
    <c:plotVisOnly val="1"/>
    <c:dispBlanksAs val="gap"/>
  </c:chart>
  <c:spPr>
    <a:solidFill>
      <a:srgbClr val="ffffff"/>
    </a:solidFill>
    <a:ln>
      <a:noFill/>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 Id="rId9" Type="http://schemas.openxmlformats.org/officeDocument/2006/relationships/chart" Target="../charts/chart9.xml"/><Relationship Id="rId10" Type="http://schemas.openxmlformats.org/officeDocument/2006/relationships/chart" Target="../charts/chart10.xml"/><Relationship Id="rId11" Type="http://schemas.openxmlformats.org/officeDocument/2006/relationships/chart" Target="../charts/chart11.xml"/><Relationship Id="rId12" Type="http://schemas.openxmlformats.org/officeDocument/2006/relationships/chart" Target="../charts/chart12.xml"/><Relationship Id="rId13" Type="http://schemas.openxmlformats.org/officeDocument/2006/relationships/chart" Target="../charts/chart13.xml"/><Relationship Id="rId14" Type="http://schemas.openxmlformats.org/officeDocument/2006/relationships/chart" Target="../charts/chart14.xml"/><Relationship Id="rId15" Type="http://schemas.openxmlformats.org/officeDocument/2006/relationships/chart" Target="../charts/chart15.xml"/><Relationship Id="rId16" Type="http://schemas.openxmlformats.org/officeDocument/2006/relationships/chart" Target="../charts/chart16.xml"/><Relationship Id="rId17" Type="http://schemas.openxmlformats.org/officeDocument/2006/relationships/chart" Target="../charts/chart17.xml"/><Relationship Id="rId18" Type="http://schemas.openxmlformats.org/officeDocument/2006/relationships/chart" Target="../charts/chart18.xml"/><Relationship Id="rId19" Type="http://schemas.openxmlformats.org/officeDocument/2006/relationships/chart" Target="../charts/chart19.xml"/><Relationship Id="rId20" Type="http://schemas.openxmlformats.org/officeDocument/2006/relationships/chart" Target="../charts/chart20.xml"/><Relationship Id="rId21" Type="http://schemas.openxmlformats.org/officeDocument/2006/relationships/chart" Target="../charts/chart21.xml"/><Relationship Id="rId22" Type="http://schemas.openxmlformats.org/officeDocument/2006/relationships/chart" Target="../charts/chart22.xml"/><Relationship Id="rId23" Type="http://schemas.openxmlformats.org/officeDocument/2006/relationships/chart" Target="../charts/chart23.xml"/><Relationship Id="rId24" Type="http://schemas.openxmlformats.org/officeDocument/2006/relationships/chart" Target="../charts/chart24.xml"/><Relationship Id="rId25" Type="http://schemas.openxmlformats.org/officeDocument/2006/relationships/chart" Target="../charts/chart25.xml"/><Relationship Id="rId26" Type="http://schemas.openxmlformats.org/officeDocument/2006/relationships/chart" Target="../charts/chart26.xml"/><Relationship Id="rId27" Type="http://schemas.openxmlformats.org/officeDocument/2006/relationships/chart" Target="../charts/chart27.xml"/><Relationship Id="rId28" Type="http://schemas.openxmlformats.org/officeDocument/2006/relationships/chart" Target="../charts/chart28.xml"/>
</Relationships>
</file>

<file path=xl/drawings/_rels/drawing2.xml.rels><?xml version="1.0" encoding="UTF-8"?>
<Relationships xmlns="http://schemas.openxmlformats.org/package/2006/relationships"><Relationship Id="rId1" Type="http://schemas.openxmlformats.org/officeDocument/2006/relationships/chart" Target="../charts/chart29.xml"/><Relationship Id="rId2" Type="http://schemas.openxmlformats.org/officeDocument/2006/relationships/chart" Target="../charts/chart30.xml"/><Relationship Id="rId3" Type="http://schemas.openxmlformats.org/officeDocument/2006/relationships/chart" Target="../charts/chart31.xml"/><Relationship Id="rId4" Type="http://schemas.openxmlformats.org/officeDocument/2006/relationships/chart" Target="../charts/chart32.xml"/><Relationship Id="rId5" Type="http://schemas.openxmlformats.org/officeDocument/2006/relationships/chart" Target="../charts/chart33.xml"/><Relationship Id="rId6" Type="http://schemas.openxmlformats.org/officeDocument/2006/relationships/chart" Target="../charts/chart34.xml"/><Relationship Id="rId7" Type="http://schemas.openxmlformats.org/officeDocument/2006/relationships/chart" Target="../charts/chart35.xml"/><Relationship Id="rId8" Type="http://schemas.openxmlformats.org/officeDocument/2006/relationships/chart" Target="../charts/chart36.xml"/><Relationship Id="rId9" Type="http://schemas.openxmlformats.org/officeDocument/2006/relationships/chart" Target="../charts/chart37.xml"/><Relationship Id="rId10" Type="http://schemas.openxmlformats.org/officeDocument/2006/relationships/chart" Target="../charts/chart38.xml"/><Relationship Id="rId11" Type="http://schemas.openxmlformats.org/officeDocument/2006/relationships/chart" Target="../charts/chart39.xml"/><Relationship Id="rId12" Type="http://schemas.openxmlformats.org/officeDocument/2006/relationships/chart" Target="../charts/chart40.xml"/><Relationship Id="rId13" Type="http://schemas.openxmlformats.org/officeDocument/2006/relationships/chart" Target="../charts/chart41.xml"/><Relationship Id="rId14" Type="http://schemas.openxmlformats.org/officeDocument/2006/relationships/chart" Target="../charts/chart42.xml"/><Relationship Id="rId15" Type="http://schemas.openxmlformats.org/officeDocument/2006/relationships/chart" Target="../charts/chart43.xml"/><Relationship Id="rId16" Type="http://schemas.openxmlformats.org/officeDocument/2006/relationships/chart" Target="../charts/chart44.xml"/><Relationship Id="rId17" Type="http://schemas.openxmlformats.org/officeDocument/2006/relationships/chart" Target="../charts/chart45.xml"/><Relationship Id="rId18" Type="http://schemas.openxmlformats.org/officeDocument/2006/relationships/chart" Target="../charts/chart46.xml"/><Relationship Id="rId19" Type="http://schemas.openxmlformats.org/officeDocument/2006/relationships/chart" Target="../charts/chart47.xml"/><Relationship Id="rId20" Type="http://schemas.openxmlformats.org/officeDocument/2006/relationships/chart" Target="../charts/chart48.xml"/><Relationship Id="rId21" Type="http://schemas.openxmlformats.org/officeDocument/2006/relationships/chart" Target="../charts/chart49.xml"/><Relationship Id="rId22" Type="http://schemas.openxmlformats.org/officeDocument/2006/relationships/chart" Target="../charts/chart50.xml"/><Relationship Id="rId23" Type="http://schemas.openxmlformats.org/officeDocument/2006/relationships/chart" Target="../charts/chart51.xml"/><Relationship Id="rId24" Type="http://schemas.openxmlformats.org/officeDocument/2006/relationships/chart" Target="../charts/chart52.xml"/><Relationship Id="rId25" Type="http://schemas.openxmlformats.org/officeDocument/2006/relationships/chart" Target="../charts/chart53.xml"/><Relationship Id="rId26" Type="http://schemas.openxmlformats.org/officeDocument/2006/relationships/chart" Target="../charts/chart54.xml"/><Relationship Id="rId27" Type="http://schemas.openxmlformats.org/officeDocument/2006/relationships/chart" Target="../charts/chart55.xml"/><Relationship Id="rId28" Type="http://schemas.openxmlformats.org/officeDocument/2006/relationships/chart" Target="../charts/chart56.xml"/><Relationship Id="rId29" Type="http://schemas.openxmlformats.org/officeDocument/2006/relationships/chart" Target="../charts/chart57.xml"/><Relationship Id="rId30" Type="http://schemas.openxmlformats.org/officeDocument/2006/relationships/chart" Target="../charts/chart58.xml"/><Relationship Id="rId31" Type="http://schemas.openxmlformats.org/officeDocument/2006/relationships/chart" Target="../charts/chart59.xml"/><Relationship Id="rId32" Type="http://schemas.openxmlformats.org/officeDocument/2006/relationships/chart" Target="../charts/chart60.xml"/><Relationship Id="rId33" Type="http://schemas.openxmlformats.org/officeDocument/2006/relationships/chart" Target="../charts/chart61.xml"/><Relationship Id="rId34" Type="http://schemas.openxmlformats.org/officeDocument/2006/relationships/chart" Target="../charts/chart62.xml"/><Relationship Id="rId35" Type="http://schemas.openxmlformats.org/officeDocument/2006/relationships/chart" Target="../charts/chart63.xml"/><Relationship Id="rId36" Type="http://schemas.openxmlformats.org/officeDocument/2006/relationships/chart" Target="../charts/chart64.xml"/><Relationship Id="rId37" Type="http://schemas.openxmlformats.org/officeDocument/2006/relationships/chart" Target="../charts/chart65.xml"/><Relationship Id="rId38" Type="http://schemas.openxmlformats.org/officeDocument/2006/relationships/chart" Target="../charts/chart66.xml"/><Relationship Id="rId39" Type="http://schemas.openxmlformats.org/officeDocument/2006/relationships/chart" Target="../charts/chart67.xml"/><Relationship Id="rId40" Type="http://schemas.openxmlformats.org/officeDocument/2006/relationships/chart" Target="../charts/chart68.xml"/><Relationship Id="rId41" Type="http://schemas.openxmlformats.org/officeDocument/2006/relationships/chart" Target="../charts/chart69.xml"/><Relationship Id="rId42" Type="http://schemas.openxmlformats.org/officeDocument/2006/relationships/chart" Target="../charts/chart70.xml"/><Relationship Id="rId43" Type="http://schemas.openxmlformats.org/officeDocument/2006/relationships/chart" Target="../charts/chart71.xml"/><Relationship Id="rId44" Type="http://schemas.openxmlformats.org/officeDocument/2006/relationships/chart" Target="../charts/chart72.xml"/><Relationship Id="rId45" Type="http://schemas.openxmlformats.org/officeDocument/2006/relationships/chart" Target="../charts/chart73.xml"/><Relationship Id="rId46" Type="http://schemas.openxmlformats.org/officeDocument/2006/relationships/chart" Target="../charts/chart74.xml"/><Relationship Id="rId47" Type="http://schemas.openxmlformats.org/officeDocument/2006/relationships/chart" Target="../charts/chart75.xml"/><Relationship Id="rId48" Type="http://schemas.openxmlformats.org/officeDocument/2006/relationships/chart" Target="../charts/chart76.xml"/><Relationship Id="rId49" Type="http://schemas.openxmlformats.org/officeDocument/2006/relationships/chart" Target="../charts/chart77.xml"/><Relationship Id="rId50" Type="http://schemas.openxmlformats.org/officeDocument/2006/relationships/chart" Target="../charts/chart78.xml"/><Relationship Id="rId51" Type="http://schemas.openxmlformats.org/officeDocument/2006/relationships/chart" Target="../charts/chart79.xml"/><Relationship Id="rId52" Type="http://schemas.openxmlformats.org/officeDocument/2006/relationships/chart" Target="../charts/chart80.xml"/><Relationship Id="rId53" Type="http://schemas.openxmlformats.org/officeDocument/2006/relationships/chart" Target="../charts/chart81.xml"/><Relationship Id="rId54" Type="http://schemas.openxmlformats.org/officeDocument/2006/relationships/chart" Target="../charts/chart82.xml"/><Relationship Id="rId55" Type="http://schemas.openxmlformats.org/officeDocument/2006/relationships/chart" Target="../charts/chart83.xml"/><Relationship Id="rId56" Type="http://schemas.openxmlformats.org/officeDocument/2006/relationships/chart" Target="../charts/chart84.xml"/><Relationship Id="rId57" Type="http://schemas.openxmlformats.org/officeDocument/2006/relationships/chart" Target="../charts/chart85.xml"/><Relationship Id="rId58" Type="http://schemas.openxmlformats.org/officeDocument/2006/relationships/chart" Target="../charts/chart86.xml"/><Relationship Id="rId59" Type="http://schemas.openxmlformats.org/officeDocument/2006/relationships/chart" Target="../charts/chart87.xml"/><Relationship Id="rId60" Type="http://schemas.openxmlformats.org/officeDocument/2006/relationships/chart" Target="../charts/chart88.xml"/><Relationship Id="rId61" Type="http://schemas.openxmlformats.org/officeDocument/2006/relationships/chart" Target="../charts/chart89.xml"/><Relationship Id="rId62" Type="http://schemas.openxmlformats.org/officeDocument/2006/relationships/chart" Target="../charts/chart90.xml"/><Relationship Id="rId63" Type="http://schemas.openxmlformats.org/officeDocument/2006/relationships/chart" Target="../charts/chart91.xml"/><Relationship Id="rId64" Type="http://schemas.openxmlformats.org/officeDocument/2006/relationships/chart" Target="../charts/chart92.xml"/><Relationship Id="rId65" Type="http://schemas.openxmlformats.org/officeDocument/2006/relationships/chart" Target="../charts/chart93.xml"/><Relationship Id="rId66" Type="http://schemas.openxmlformats.org/officeDocument/2006/relationships/chart" Target="../charts/chart94.xml"/><Relationship Id="rId67" Type="http://schemas.openxmlformats.org/officeDocument/2006/relationships/chart" Target="../charts/chart95.xml"/><Relationship Id="rId68" Type="http://schemas.openxmlformats.org/officeDocument/2006/relationships/chart" Target="../charts/chart96.xml"/><Relationship Id="rId69" Type="http://schemas.openxmlformats.org/officeDocument/2006/relationships/chart" Target="../charts/chart97.xml"/><Relationship Id="rId70" Type="http://schemas.openxmlformats.org/officeDocument/2006/relationships/chart" Target="../charts/chart98.xml"/>
</Relationships>
</file>

<file path=xl/drawings/_rels/drawing3.xml.rels><?xml version="1.0" encoding="UTF-8"?>
<Relationships xmlns="http://schemas.openxmlformats.org/package/2006/relationships"><Relationship Id="rId1" Type="http://schemas.openxmlformats.org/officeDocument/2006/relationships/chart" Target="../charts/chart99.xml"/><Relationship Id="rId2" Type="http://schemas.openxmlformats.org/officeDocument/2006/relationships/chart" Target="../charts/chart100.xml"/><Relationship Id="rId3" Type="http://schemas.openxmlformats.org/officeDocument/2006/relationships/chart" Target="../charts/chart101.xml"/><Relationship Id="rId4" Type="http://schemas.openxmlformats.org/officeDocument/2006/relationships/chart" Target="../charts/chart102.xml"/><Relationship Id="rId5" Type="http://schemas.openxmlformats.org/officeDocument/2006/relationships/chart" Target="../charts/chart103.xml"/><Relationship Id="rId6" Type="http://schemas.openxmlformats.org/officeDocument/2006/relationships/chart" Target="../charts/chart104.xml"/><Relationship Id="rId7" Type="http://schemas.openxmlformats.org/officeDocument/2006/relationships/chart" Target="../charts/chart105.xml"/><Relationship Id="rId8" Type="http://schemas.openxmlformats.org/officeDocument/2006/relationships/chart" Target="../charts/chart106.xml"/><Relationship Id="rId9" Type="http://schemas.openxmlformats.org/officeDocument/2006/relationships/chart" Target="../charts/chart107.xml"/><Relationship Id="rId10" Type="http://schemas.openxmlformats.org/officeDocument/2006/relationships/chart" Target="../charts/chart108.xml"/><Relationship Id="rId11" Type="http://schemas.openxmlformats.org/officeDocument/2006/relationships/chart" Target="../charts/chart109.xml"/><Relationship Id="rId12" Type="http://schemas.openxmlformats.org/officeDocument/2006/relationships/chart" Target="../charts/chart110.xml"/><Relationship Id="rId13" Type="http://schemas.openxmlformats.org/officeDocument/2006/relationships/chart" Target="../charts/chart111.xml"/><Relationship Id="rId14" Type="http://schemas.openxmlformats.org/officeDocument/2006/relationships/chart" Target="../charts/chart112.xml"/><Relationship Id="rId15" Type="http://schemas.openxmlformats.org/officeDocument/2006/relationships/chart" Target="../charts/chart113.xml"/><Relationship Id="rId16" Type="http://schemas.openxmlformats.org/officeDocument/2006/relationships/chart" Target="../charts/chart114.xml"/><Relationship Id="rId17" Type="http://schemas.openxmlformats.org/officeDocument/2006/relationships/chart" Target="../charts/chart115.xml"/><Relationship Id="rId18" Type="http://schemas.openxmlformats.org/officeDocument/2006/relationships/chart" Target="../charts/chart116.xml"/><Relationship Id="rId19" Type="http://schemas.openxmlformats.org/officeDocument/2006/relationships/chart" Target="../charts/chart117.xml"/><Relationship Id="rId20" Type="http://schemas.openxmlformats.org/officeDocument/2006/relationships/chart" Target="../charts/chart118.xml"/><Relationship Id="rId21" Type="http://schemas.openxmlformats.org/officeDocument/2006/relationships/chart" Target="../charts/chart119.xml"/><Relationship Id="rId22" Type="http://schemas.openxmlformats.org/officeDocument/2006/relationships/chart" Target="../charts/chart120.xml"/><Relationship Id="rId23" Type="http://schemas.openxmlformats.org/officeDocument/2006/relationships/chart" Target="../charts/chart121.xml"/><Relationship Id="rId24" Type="http://schemas.openxmlformats.org/officeDocument/2006/relationships/chart" Target="../charts/chart122.xml"/><Relationship Id="rId25" Type="http://schemas.openxmlformats.org/officeDocument/2006/relationships/chart" Target="../charts/chart123.xml"/><Relationship Id="rId26" Type="http://schemas.openxmlformats.org/officeDocument/2006/relationships/chart" Target="../charts/chart124.xml"/><Relationship Id="rId27" Type="http://schemas.openxmlformats.org/officeDocument/2006/relationships/chart" Target="../charts/chart125.xml"/><Relationship Id="rId28" Type="http://schemas.openxmlformats.org/officeDocument/2006/relationships/chart" Target="../charts/chart126.xml"/><Relationship Id="rId29" Type="http://schemas.openxmlformats.org/officeDocument/2006/relationships/chart" Target="../charts/chart127.xml"/><Relationship Id="rId30" Type="http://schemas.openxmlformats.org/officeDocument/2006/relationships/chart" Target="../charts/chart128.xml"/><Relationship Id="rId31" Type="http://schemas.openxmlformats.org/officeDocument/2006/relationships/chart" Target="../charts/chart129.xml"/><Relationship Id="rId32" Type="http://schemas.openxmlformats.org/officeDocument/2006/relationships/chart" Target="../charts/chart130.xml"/><Relationship Id="rId33" Type="http://schemas.openxmlformats.org/officeDocument/2006/relationships/chart" Target="../charts/chart131.xml"/><Relationship Id="rId34" Type="http://schemas.openxmlformats.org/officeDocument/2006/relationships/chart" Target="../charts/chart132.xml"/><Relationship Id="rId35" Type="http://schemas.openxmlformats.org/officeDocument/2006/relationships/chart" Target="../charts/chart133.xml"/><Relationship Id="rId36" Type="http://schemas.openxmlformats.org/officeDocument/2006/relationships/chart" Target="../charts/chart134.xml"/><Relationship Id="rId37" Type="http://schemas.openxmlformats.org/officeDocument/2006/relationships/chart" Target="../charts/chart135.xml"/><Relationship Id="rId38" Type="http://schemas.openxmlformats.org/officeDocument/2006/relationships/chart" Target="../charts/chart136.xml"/><Relationship Id="rId39" Type="http://schemas.openxmlformats.org/officeDocument/2006/relationships/chart" Target="../charts/chart137.xml"/><Relationship Id="rId40" Type="http://schemas.openxmlformats.org/officeDocument/2006/relationships/chart" Target="../charts/chart138.xml"/><Relationship Id="rId41" Type="http://schemas.openxmlformats.org/officeDocument/2006/relationships/chart" Target="../charts/chart139.xml"/><Relationship Id="rId42" Type="http://schemas.openxmlformats.org/officeDocument/2006/relationships/chart" Target="../charts/chart140.xml"/><Relationship Id="rId43" Type="http://schemas.openxmlformats.org/officeDocument/2006/relationships/chart" Target="../charts/chart141.xml"/><Relationship Id="rId44" Type="http://schemas.openxmlformats.org/officeDocument/2006/relationships/chart" Target="../charts/chart142.xml"/><Relationship Id="rId45" Type="http://schemas.openxmlformats.org/officeDocument/2006/relationships/chart" Target="../charts/chart143.xml"/><Relationship Id="rId46" Type="http://schemas.openxmlformats.org/officeDocument/2006/relationships/chart" Target="../charts/chart144.xml"/><Relationship Id="rId47" Type="http://schemas.openxmlformats.org/officeDocument/2006/relationships/chart" Target="../charts/chart145.xml"/><Relationship Id="rId48" Type="http://schemas.openxmlformats.org/officeDocument/2006/relationships/chart" Target="../charts/chart146.xml"/><Relationship Id="rId49" Type="http://schemas.openxmlformats.org/officeDocument/2006/relationships/chart" Target="../charts/chart147.xml"/><Relationship Id="rId50" Type="http://schemas.openxmlformats.org/officeDocument/2006/relationships/chart" Target="../charts/chart148.xml"/><Relationship Id="rId51" Type="http://schemas.openxmlformats.org/officeDocument/2006/relationships/chart" Target="../charts/chart149.xml"/><Relationship Id="rId52" Type="http://schemas.openxmlformats.org/officeDocument/2006/relationships/chart" Target="../charts/chart150.xml"/><Relationship Id="rId53" Type="http://schemas.openxmlformats.org/officeDocument/2006/relationships/chart" Target="../charts/chart151.xml"/><Relationship Id="rId54" Type="http://schemas.openxmlformats.org/officeDocument/2006/relationships/chart" Target="../charts/chart152.xml"/><Relationship Id="rId55" Type="http://schemas.openxmlformats.org/officeDocument/2006/relationships/chart" Target="../charts/chart153.xml"/><Relationship Id="rId56" Type="http://schemas.openxmlformats.org/officeDocument/2006/relationships/chart" Target="../charts/chart154.xml"/><Relationship Id="rId57" Type="http://schemas.openxmlformats.org/officeDocument/2006/relationships/chart" Target="../charts/chart155.xml"/><Relationship Id="rId58" Type="http://schemas.openxmlformats.org/officeDocument/2006/relationships/chart" Target="../charts/chart156.xml"/>
</Relationships>
</file>

<file path=xl/drawings/_rels/drawing4.xml.rels><?xml version="1.0" encoding="UTF-8"?>
<Relationships xmlns="http://schemas.openxmlformats.org/package/2006/relationships"><Relationship Id="rId1" Type="http://schemas.openxmlformats.org/officeDocument/2006/relationships/chart" Target="../charts/chart157.xml"/>
</Relationships>
</file>

<file path=xl/drawings/_rels/drawing5.xml.rels><?xml version="1.0" encoding="UTF-8"?>
<Relationships xmlns="http://schemas.openxmlformats.org/package/2006/relationships"><Relationship Id="rId1" Type="http://schemas.openxmlformats.org/officeDocument/2006/relationships/chart" Target="../charts/chart158.xml"/>
</Relationships>
</file>

<file path=xl/drawings/_rels/drawing6.xml.rels><?xml version="1.0" encoding="UTF-8"?>
<Relationships xmlns="http://schemas.openxmlformats.org/package/2006/relationships"><Relationship Id="rId1" Type="http://schemas.openxmlformats.org/officeDocument/2006/relationships/chart" Target="../charts/chart159.xml"/><Relationship Id="rId2" Type="http://schemas.openxmlformats.org/officeDocument/2006/relationships/chart" Target="../charts/chart160.xml"/>
</Relationships>
</file>

<file path=xl/drawings/_rels/drawing7.xml.rels><?xml version="1.0" encoding="UTF-8"?>
<Relationships xmlns="http://schemas.openxmlformats.org/package/2006/relationships"><Relationship Id="rId1" Type="http://schemas.openxmlformats.org/officeDocument/2006/relationships/chart" Target="../charts/chart161.xml"/><Relationship Id="rId2" Type="http://schemas.openxmlformats.org/officeDocument/2006/relationships/chart" Target="../charts/chart162.xml"/><Relationship Id="rId3" Type="http://schemas.openxmlformats.org/officeDocument/2006/relationships/chart" Target="../charts/chart163.xml"/><Relationship Id="rId4" Type="http://schemas.openxmlformats.org/officeDocument/2006/relationships/chart" Target="../charts/chart164.xml"/><Relationship Id="rId5" Type="http://schemas.openxmlformats.org/officeDocument/2006/relationships/chart" Target="../charts/chart165.xml"/><Relationship Id="rId6" Type="http://schemas.openxmlformats.org/officeDocument/2006/relationships/chart" Target="../charts/chart166.xml"/><Relationship Id="rId7" Type="http://schemas.openxmlformats.org/officeDocument/2006/relationships/chart" Target="../charts/chart167.xml"/><Relationship Id="rId8" Type="http://schemas.openxmlformats.org/officeDocument/2006/relationships/chart" Target="../charts/chart168.xml"/><Relationship Id="rId9" Type="http://schemas.openxmlformats.org/officeDocument/2006/relationships/chart" Target="../charts/chart169.xml"/><Relationship Id="rId10" Type="http://schemas.openxmlformats.org/officeDocument/2006/relationships/chart" Target="../charts/chart170.xml"/><Relationship Id="rId11" Type="http://schemas.openxmlformats.org/officeDocument/2006/relationships/chart" Target="../charts/chart171.xml"/><Relationship Id="rId12" Type="http://schemas.openxmlformats.org/officeDocument/2006/relationships/chart" Target="../charts/chart172.xml"/><Relationship Id="rId13" Type="http://schemas.openxmlformats.org/officeDocument/2006/relationships/chart" Target="../charts/chart173.xml"/><Relationship Id="rId14" Type="http://schemas.openxmlformats.org/officeDocument/2006/relationships/chart" Target="../charts/chart174.xml"/><Relationship Id="rId15" Type="http://schemas.openxmlformats.org/officeDocument/2006/relationships/chart" Target="../charts/chart175.xml"/><Relationship Id="rId16" Type="http://schemas.openxmlformats.org/officeDocument/2006/relationships/chart" Target="../charts/chart176.xml"/><Relationship Id="rId17" Type="http://schemas.openxmlformats.org/officeDocument/2006/relationships/chart" Target="../charts/chart177.xml"/><Relationship Id="rId18" Type="http://schemas.openxmlformats.org/officeDocument/2006/relationships/chart" Target="../charts/chart178.xml"/>
</Relationships>
</file>

<file path=xl/drawings/_rels/drawing8.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Relationship Id="rId6" Type="http://schemas.openxmlformats.org/officeDocument/2006/relationships/image" Target="../media/image6.png"/><Relationship Id="rId7" Type="http://schemas.openxmlformats.org/officeDocument/2006/relationships/image" Target="../media/image7.png"/><Relationship Id="rId8" Type="http://schemas.openxmlformats.org/officeDocument/2006/relationships/image" Target="../media/image8.jpeg"/>
</Relationships>
</file>

<file path=xl/drawings/_rels/drawing9.xml.rels><?xml version="1.0" encoding="UTF-8"?>
<Relationships xmlns="http://schemas.openxmlformats.org/package/2006/relationships"><Relationship Id="rId1" Type="http://schemas.openxmlformats.org/officeDocument/2006/relationships/image" Target="../media/image9.png"/><Relationship Id="rId2" Type="http://schemas.openxmlformats.org/officeDocument/2006/relationships/image" Target="../media/image10.png"/><Relationship Id="rId3" Type="http://schemas.openxmlformats.org/officeDocument/2006/relationships/image" Target="../media/image11.png"/><Relationship Id="rId4" Type="http://schemas.openxmlformats.org/officeDocument/2006/relationships/image" Target="../media/image12.png"/><Relationship Id="rId5" Type="http://schemas.openxmlformats.org/officeDocument/2006/relationships/image" Target="../media/image13.png"/><Relationship Id="rId6" Type="http://schemas.openxmlformats.org/officeDocument/2006/relationships/image" Target="../media/image14.png"/><Relationship Id="rId7" Type="http://schemas.openxmlformats.org/officeDocument/2006/relationships/image" Target="../media/image15.png"/><Relationship Id="rId8" Type="http://schemas.openxmlformats.org/officeDocument/2006/relationships/image" Target="../media/image16.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13</xdr:col>
      <xdr:colOff>1009800</xdr:colOff>
      <xdr:row>25</xdr:row>
      <xdr:rowOff>95400</xdr:rowOff>
    </xdr:from>
    <xdr:to>
      <xdr:col>19</xdr:col>
      <xdr:colOff>56880</xdr:colOff>
      <xdr:row>38</xdr:row>
      <xdr:rowOff>16560</xdr:rowOff>
    </xdr:to>
    <xdr:graphicFrame>
      <xdr:nvGraphicFramePr>
        <xdr:cNvPr id="0" name="1 Gráfico"/>
        <xdr:cNvGraphicFramePr/>
      </xdr:nvGraphicFramePr>
      <xdr:xfrm>
        <a:off x="11248920" y="4724280"/>
        <a:ext cx="4447800" cy="2140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1009800</xdr:colOff>
      <xdr:row>44</xdr:row>
      <xdr:rowOff>66600</xdr:rowOff>
    </xdr:from>
    <xdr:to>
      <xdr:col>19</xdr:col>
      <xdr:colOff>56880</xdr:colOff>
      <xdr:row>56</xdr:row>
      <xdr:rowOff>312840</xdr:rowOff>
    </xdr:to>
    <xdr:graphicFrame>
      <xdr:nvGraphicFramePr>
        <xdr:cNvPr id="1" name="1 Gráfico"/>
        <xdr:cNvGraphicFramePr/>
      </xdr:nvGraphicFramePr>
      <xdr:xfrm>
        <a:off x="11248920" y="8105400"/>
        <a:ext cx="4447800" cy="2294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1022400</xdr:colOff>
      <xdr:row>59</xdr:row>
      <xdr:rowOff>163080</xdr:rowOff>
    </xdr:from>
    <xdr:to>
      <xdr:col>19</xdr:col>
      <xdr:colOff>69480</xdr:colOff>
      <xdr:row>74</xdr:row>
      <xdr:rowOff>83160</xdr:rowOff>
    </xdr:to>
    <xdr:graphicFrame>
      <xdr:nvGraphicFramePr>
        <xdr:cNvPr id="2" name="4 Gráfico"/>
        <xdr:cNvGraphicFramePr/>
      </xdr:nvGraphicFramePr>
      <xdr:xfrm>
        <a:off x="11261520" y="10983240"/>
        <a:ext cx="4447800" cy="2482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13</xdr:col>
      <xdr:colOff>990720</xdr:colOff>
      <xdr:row>76</xdr:row>
      <xdr:rowOff>164160</xdr:rowOff>
    </xdr:from>
    <xdr:to>
      <xdr:col>19</xdr:col>
      <xdr:colOff>37800</xdr:colOff>
      <xdr:row>91</xdr:row>
      <xdr:rowOff>96480</xdr:rowOff>
    </xdr:to>
    <xdr:graphicFrame>
      <xdr:nvGraphicFramePr>
        <xdr:cNvPr id="3" name="5 Gráfico"/>
        <xdr:cNvGraphicFramePr/>
      </xdr:nvGraphicFramePr>
      <xdr:xfrm>
        <a:off x="11229840" y="13889520"/>
        <a:ext cx="4447800" cy="248508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8</xdr:col>
      <xdr:colOff>399960</xdr:colOff>
      <xdr:row>93</xdr:row>
      <xdr:rowOff>0</xdr:rowOff>
    </xdr:from>
    <xdr:to>
      <xdr:col>13</xdr:col>
      <xdr:colOff>579960</xdr:colOff>
      <xdr:row>104</xdr:row>
      <xdr:rowOff>37080</xdr:rowOff>
    </xdr:to>
    <xdr:graphicFrame>
      <xdr:nvGraphicFramePr>
        <xdr:cNvPr id="4" name="6 Gráfico"/>
        <xdr:cNvGraphicFramePr/>
      </xdr:nvGraphicFramePr>
      <xdr:xfrm>
        <a:off x="6400440" y="16620840"/>
        <a:ext cx="4418640" cy="19231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8</xdr:col>
      <xdr:colOff>361800</xdr:colOff>
      <xdr:row>110</xdr:row>
      <xdr:rowOff>85680</xdr:rowOff>
    </xdr:from>
    <xdr:to>
      <xdr:col>13</xdr:col>
      <xdr:colOff>541800</xdr:colOff>
      <xdr:row>121</xdr:row>
      <xdr:rowOff>18000</xdr:rowOff>
    </xdr:to>
    <xdr:graphicFrame>
      <xdr:nvGraphicFramePr>
        <xdr:cNvPr id="5" name="7 Gráfico"/>
        <xdr:cNvGraphicFramePr/>
      </xdr:nvGraphicFramePr>
      <xdr:xfrm>
        <a:off x="6362280" y="19621440"/>
        <a:ext cx="4418640" cy="181800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8</xdr:col>
      <xdr:colOff>371520</xdr:colOff>
      <xdr:row>128</xdr:row>
      <xdr:rowOff>38160</xdr:rowOff>
    </xdr:from>
    <xdr:to>
      <xdr:col>13</xdr:col>
      <xdr:colOff>551520</xdr:colOff>
      <xdr:row>140</xdr:row>
      <xdr:rowOff>127440</xdr:rowOff>
    </xdr:to>
    <xdr:graphicFrame>
      <xdr:nvGraphicFramePr>
        <xdr:cNvPr id="6" name="8 Gráfico"/>
        <xdr:cNvGraphicFramePr/>
      </xdr:nvGraphicFramePr>
      <xdr:xfrm>
        <a:off x="6372000" y="22659840"/>
        <a:ext cx="4418640" cy="214668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8</xdr:col>
      <xdr:colOff>343080</xdr:colOff>
      <xdr:row>146</xdr:row>
      <xdr:rowOff>9360</xdr:rowOff>
    </xdr:from>
    <xdr:to>
      <xdr:col>13</xdr:col>
      <xdr:colOff>523080</xdr:colOff>
      <xdr:row>159</xdr:row>
      <xdr:rowOff>98640</xdr:rowOff>
    </xdr:to>
    <xdr:graphicFrame>
      <xdr:nvGraphicFramePr>
        <xdr:cNvPr id="7" name="9 Gráfico"/>
        <xdr:cNvGraphicFramePr/>
      </xdr:nvGraphicFramePr>
      <xdr:xfrm>
        <a:off x="6343560" y="25717320"/>
        <a:ext cx="4418640" cy="231804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19</xdr:col>
      <xdr:colOff>304920</xdr:colOff>
      <xdr:row>27</xdr:row>
      <xdr:rowOff>38160</xdr:rowOff>
    </xdr:from>
    <xdr:to>
      <xdr:col>22</xdr:col>
      <xdr:colOff>599760</xdr:colOff>
      <xdr:row>35</xdr:row>
      <xdr:rowOff>66960</xdr:rowOff>
    </xdr:to>
    <xdr:graphicFrame>
      <xdr:nvGraphicFramePr>
        <xdr:cNvPr id="8" name="11 Gráfico"/>
        <xdr:cNvGraphicFramePr/>
      </xdr:nvGraphicFramePr>
      <xdr:xfrm>
        <a:off x="15944760" y="5010120"/>
        <a:ext cx="2666520" cy="140040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22</xdr:col>
      <xdr:colOff>685800</xdr:colOff>
      <xdr:row>27</xdr:row>
      <xdr:rowOff>28440</xdr:rowOff>
    </xdr:from>
    <xdr:to>
      <xdr:col>26</xdr:col>
      <xdr:colOff>84240</xdr:colOff>
      <xdr:row>35</xdr:row>
      <xdr:rowOff>57240</xdr:rowOff>
    </xdr:to>
    <xdr:graphicFrame>
      <xdr:nvGraphicFramePr>
        <xdr:cNvPr id="9" name="12 Gráfico"/>
        <xdr:cNvGraphicFramePr/>
      </xdr:nvGraphicFramePr>
      <xdr:xfrm>
        <a:off x="18697320" y="5000400"/>
        <a:ext cx="2713320" cy="140040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19</xdr:col>
      <xdr:colOff>295200</xdr:colOff>
      <xdr:row>44</xdr:row>
      <xdr:rowOff>133200</xdr:rowOff>
    </xdr:from>
    <xdr:to>
      <xdr:col>22</xdr:col>
      <xdr:colOff>590040</xdr:colOff>
      <xdr:row>54</xdr:row>
      <xdr:rowOff>16200</xdr:rowOff>
    </xdr:to>
    <xdr:graphicFrame>
      <xdr:nvGraphicFramePr>
        <xdr:cNvPr id="10" name="13 Gráfico"/>
        <xdr:cNvGraphicFramePr/>
      </xdr:nvGraphicFramePr>
      <xdr:xfrm>
        <a:off x="15935040" y="8172000"/>
        <a:ext cx="2666520" cy="15879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22</xdr:col>
      <xdr:colOff>695160</xdr:colOff>
      <xdr:row>44</xdr:row>
      <xdr:rowOff>123840</xdr:rowOff>
    </xdr:from>
    <xdr:to>
      <xdr:col>26</xdr:col>
      <xdr:colOff>93600</xdr:colOff>
      <xdr:row>54</xdr:row>
      <xdr:rowOff>6840</xdr:rowOff>
    </xdr:to>
    <xdr:graphicFrame>
      <xdr:nvGraphicFramePr>
        <xdr:cNvPr id="11" name="14 Gráfico"/>
        <xdr:cNvGraphicFramePr/>
      </xdr:nvGraphicFramePr>
      <xdr:xfrm>
        <a:off x="18706680" y="8162640"/>
        <a:ext cx="2713320" cy="15879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19</xdr:col>
      <xdr:colOff>237960</xdr:colOff>
      <xdr:row>62</xdr:row>
      <xdr:rowOff>19080</xdr:rowOff>
    </xdr:from>
    <xdr:to>
      <xdr:col>22</xdr:col>
      <xdr:colOff>532800</xdr:colOff>
      <xdr:row>72</xdr:row>
      <xdr:rowOff>59040</xdr:rowOff>
    </xdr:to>
    <xdr:graphicFrame>
      <xdr:nvGraphicFramePr>
        <xdr:cNvPr id="12" name="15 Gráfico"/>
        <xdr:cNvGraphicFramePr/>
      </xdr:nvGraphicFramePr>
      <xdr:xfrm>
        <a:off x="15877800" y="11353680"/>
        <a:ext cx="2666520" cy="1744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22</xdr:col>
      <xdr:colOff>628560</xdr:colOff>
      <xdr:row>62</xdr:row>
      <xdr:rowOff>28440</xdr:rowOff>
    </xdr:from>
    <xdr:to>
      <xdr:col>26</xdr:col>
      <xdr:colOff>27000</xdr:colOff>
      <xdr:row>72</xdr:row>
      <xdr:rowOff>68400</xdr:rowOff>
    </xdr:to>
    <xdr:graphicFrame>
      <xdr:nvGraphicFramePr>
        <xdr:cNvPr id="13" name="16 Gráfico"/>
        <xdr:cNvGraphicFramePr/>
      </xdr:nvGraphicFramePr>
      <xdr:xfrm>
        <a:off x="18640080" y="11363040"/>
        <a:ext cx="2713320" cy="174492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19</xdr:col>
      <xdr:colOff>200160</xdr:colOff>
      <xdr:row>76</xdr:row>
      <xdr:rowOff>123840</xdr:rowOff>
    </xdr:from>
    <xdr:to>
      <xdr:col>22</xdr:col>
      <xdr:colOff>495000</xdr:colOff>
      <xdr:row>87</xdr:row>
      <xdr:rowOff>6840</xdr:rowOff>
    </xdr:to>
    <xdr:graphicFrame>
      <xdr:nvGraphicFramePr>
        <xdr:cNvPr id="14" name="17 Gráfico"/>
        <xdr:cNvGraphicFramePr/>
      </xdr:nvGraphicFramePr>
      <xdr:xfrm>
        <a:off x="15840000" y="13849200"/>
        <a:ext cx="2666520" cy="174996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22</xdr:col>
      <xdr:colOff>638280</xdr:colOff>
      <xdr:row>76</xdr:row>
      <xdr:rowOff>133200</xdr:rowOff>
    </xdr:from>
    <xdr:to>
      <xdr:col>26</xdr:col>
      <xdr:colOff>18720</xdr:colOff>
      <xdr:row>87</xdr:row>
      <xdr:rowOff>16200</xdr:rowOff>
    </xdr:to>
    <xdr:graphicFrame>
      <xdr:nvGraphicFramePr>
        <xdr:cNvPr id="15" name="18 Gráfico"/>
        <xdr:cNvGraphicFramePr/>
      </xdr:nvGraphicFramePr>
      <xdr:xfrm>
        <a:off x="18649800" y="13858560"/>
        <a:ext cx="2695320" cy="174996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13</xdr:col>
      <xdr:colOff>1219320</xdr:colOff>
      <xdr:row>92</xdr:row>
      <xdr:rowOff>95400</xdr:rowOff>
    </xdr:from>
    <xdr:to>
      <xdr:col>17</xdr:col>
      <xdr:colOff>123480</xdr:colOff>
      <xdr:row>98</xdr:row>
      <xdr:rowOff>135360</xdr:rowOff>
    </xdr:to>
    <xdr:graphicFrame>
      <xdr:nvGraphicFramePr>
        <xdr:cNvPr id="16" name="19 Gráfico"/>
        <xdr:cNvGraphicFramePr/>
      </xdr:nvGraphicFramePr>
      <xdr:xfrm>
        <a:off x="11458440" y="16544880"/>
        <a:ext cx="2723760" cy="106884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17</xdr:col>
      <xdr:colOff>295200</xdr:colOff>
      <xdr:row>92</xdr:row>
      <xdr:rowOff>95400</xdr:rowOff>
    </xdr:from>
    <xdr:to>
      <xdr:col>20</xdr:col>
      <xdr:colOff>590040</xdr:colOff>
      <xdr:row>98</xdr:row>
      <xdr:rowOff>135360</xdr:rowOff>
    </xdr:to>
    <xdr:graphicFrame>
      <xdr:nvGraphicFramePr>
        <xdr:cNvPr id="17" name="20 Gráfico"/>
        <xdr:cNvGraphicFramePr/>
      </xdr:nvGraphicFramePr>
      <xdr:xfrm>
        <a:off x="14353920" y="16544880"/>
        <a:ext cx="2666520" cy="106884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13</xdr:col>
      <xdr:colOff>1351440</xdr:colOff>
      <xdr:row>110</xdr:row>
      <xdr:rowOff>152280</xdr:rowOff>
    </xdr:from>
    <xdr:to>
      <xdr:col>17</xdr:col>
      <xdr:colOff>255600</xdr:colOff>
      <xdr:row>117</xdr:row>
      <xdr:rowOff>35280</xdr:rowOff>
    </xdr:to>
    <xdr:graphicFrame>
      <xdr:nvGraphicFramePr>
        <xdr:cNvPr id="18" name="21 Gráfico"/>
        <xdr:cNvGraphicFramePr/>
      </xdr:nvGraphicFramePr>
      <xdr:xfrm>
        <a:off x="11590560" y="19688040"/>
        <a:ext cx="2723760" cy="108288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17</xdr:col>
      <xdr:colOff>324000</xdr:colOff>
      <xdr:row>110</xdr:row>
      <xdr:rowOff>152280</xdr:rowOff>
    </xdr:from>
    <xdr:to>
      <xdr:col>20</xdr:col>
      <xdr:colOff>618840</xdr:colOff>
      <xdr:row>117</xdr:row>
      <xdr:rowOff>35280</xdr:rowOff>
    </xdr:to>
    <xdr:graphicFrame>
      <xdr:nvGraphicFramePr>
        <xdr:cNvPr id="19" name="22 Gráfico"/>
        <xdr:cNvGraphicFramePr/>
      </xdr:nvGraphicFramePr>
      <xdr:xfrm>
        <a:off x="14382720" y="19688040"/>
        <a:ext cx="2666520" cy="108288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13</xdr:col>
      <xdr:colOff>1362240</xdr:colOff>
      <xdr:row>126</xdr:row>
      <xdr:rowOff>142920</xdr:rowOff>
    </xdr:from>
    <xdr:to>
      <xdr:col>17</xdr:col>
      <xdr:colOff>266400</xdr:colOff>
      <xdr:row>136</xdr:row>
      <xdr:rowOff>171000</xdr:rowOff>
    </xdr:to>
    <xdr:graphicFrame>
      <xdr:nvGraphicFramePr>
        <xdr:cNvPr id="20" name="23 Gráfico"/>
        <xdr:cNvGraphicFramePr/>
      </xdr:nvGraphicFramePr>
      <xdr:xfrm>
        <a:off x="11601360" y="22421880"/>
        <a:ext cx="2723760" cy="174240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17</xdr:col>
      <xdr:colOff>399960</xdr:colOff>
      <xdr:row>126</xdr:row>
      <xdr:rowOff>133200</xdr:rowOff>
    </xdr:from>
    <xdr:to>
      <xdr:col>20</xdr:col>
      <xdr:colOff>694800</xdr:colOff>
      <xdr:row>136</xdr:row>
      <xdr:rowOff>171000</xdr:rowOff>
    </xdr:to>
    <xdr:graphicFrame>
      <xdr:nvGraphicFramePr>
        <xdr:cNvPr id="21" name="24 Gráfico"/>
        <xdr:cNvGraphicFramePr/>
      </xdr:nvGraphicFramePr>
      <xdr:xfrm>
        <a:off x="14458680" y="22412160"/>
        <a:ext cx="2666520" cy="175212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13</xdr:col>
      <xdr:colOff>1362240</xdr:colOff>
      <xdr:row>145</xdr:row>
      <xdr:rowOff>133200</xdr:rowOff>
    </xdr:from>
    <xdr:to>
      <xdr:col>17</xdr:col>
      <xdr:colOff>266400</xdr:colOff>
      <xdr:row>154</xdr:row>
      <xdr:rowOff>16200</xdr:rowOff>
    </xdr:to>
    <xdr:graphicFrame>
      <xdr:nvGraphicFramePr>
        <xdr:cNvPr id="22" name="25 Gráfico"/>
        <xdr:cNvGraphicFramePr/>
      </xdr:nvGraphicFramePr>
      <xdr:xfrm>
        <a:off x="11601360" y="25669440"/>
        <a:ext cx="2723760" cy="142632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17</xdr:col>
      <xdr:colOff>399960</xdr:colOff>
      <xdr:row>145</xdr:row>
      <xdr:rowOff>123840</xdr:rowOff>
    </xdr:from>
    <xdr:to>
      <xdr:col>20</xdr:col>
      <xdr:colOff>694800</xdr:colOff>
      <xdr:row>154</xdr:row>
      <xdr:rowOff>6840</xdr:rowOff>
    </xdr:to>
    <xdr:graphicFrame>
      <xdr:nvGraphicFramePr>
        <xdr:cNvPr id="23" name="26 Gráfico"/>
        <xdr:cNvGraphicFramePr/>
      </xdr:nvGraphicFramePr>
      <xdr:xfrm>
        <a:off x="14458680" y="25660080"/>
        <a:ext cx="2666520" cy="142632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oneCell">
    <xdr:from>
      <xdr:col>8</xdr:col>
      <xdr:colOff>409680</xdr:colOff>
      <xdr:row>25</xdr:row>
      <xdr:rowOff>104760</xdr:rowOff>
    </xdr:from>
    <xdr:to>
      <xdr:col>13</xdr:col>
      <xdr:colOff>589680</xdr:colOff>
      <xdr:row>38</xdr:row>
      <xdr:rowOff>25920</xdr:rowOff>
    </xdr:to>
    <xdr:graphicFrame>
      <xdr:nvGraphicFramePr>
        <xdr:cNvPr id="24" name="27 Gráfico"/>
        <xdr:cNvGraphicFramePr/>
      </xdr:nvGraphicFramePr>
      <xdr:xfrm>
        <a:off x="6410160" y="4733640"/>
        <a:ext cx="4418640" cy="214056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oneCell">
    <xdr:from>
      <xdr:col>8</xdr:col>
      <xdr:colOff>457200</xdr:colOff>
      <xdr:row>61</xdr:row>
      <xdr:rowOff>38160</xdr:rowOff>
    </xdr:from>
    <xdr:to>
      <xdr:col>13</xdr:col>
      <xdr:colOff>637200</xdr:colOff>
      <xdr:row>75</xdr:row>
      <xdr:rowOff>127440</xdr:rowOff>
    </xdr:to>
    <xdr:graphicFrame>
      <xdr:nvGraphicFramePr>
        <xdr:cNvPr id="25" name="28 Gráfico"/>
        <xdr:cNvGraphicFramePr/>
      </xdr:nvGraphicFramePr>
      <xdr:xfrm>
        <a:off x="6457680" y="11201400"/>
        <a:ext cx="4418640" cy="248004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oneCell">
    <xdr:from>
      <xdr:col>8</xdr:col>
      <xdr:colOff>390600</xdr:colOff>
      <xdr:row>44</xdr:row>
      <xdr:rowOff>28440</xdr:rowOff>
    </xdr:from>
    <xdr:to>
      <xdr:col>13</xdr:col>
      <xdr:colOff>570600</xdr:colOff>
      <xdr:row>56</xdr:row>
      <xdr:rowOff>274680</xdr:rowOff>
    </xdr:to>
    <xdr:graphicFrame>
      <xdr:nvGraphicFramePr>
        <xdr:cNvPr id="26" name="29 Gráfico"/>
        <xdr:cNvGraphicFramePr/>
      </xdr:nvGraphicFramePr>
      <xdr:xfrm>
        <a:off x="6391080" y="8067240"/>
        <a:ext cx="4418640" cy="229428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8</xdr:col>
      <xdr:colOff>466560</xdr:colOff>
      <xdr:row>77</xdr:row>
      <xdr:rowOff>104760</xdr:rowOff>
    </xdr:from>
    <xdr:to>
      <xdr:col>13</xdr:col>
      <xdr:colOff>646560</xdr:colOff>
      <xdr:row>92</xdr:row>
      <xdr:rowOff>37080</xdr:rowOff>
    </xdr:to>
    <xdr:graphicFrame>
      <xdr:nvGraphicFramePr>
        <xdr:cNvPr id="27" name="28 Gráfico"/>
        <xdr:cNvGraphicFramePr/>
      </xdr:nvGraphicFramePr>
      <xdr:xfrm>
        <a:off x="6467040" y="14001480"/>
        <a:ext cx="4418640" cy="248508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27</xdr:col>
      <xdr:colOff>0</xdr:colOff>
      <xdr:row>303</xdr:row>
      <xdr:rowOff>0</xdr:rowOff>
    </xdr:from>
    <xdr:to>
      <xdr:col>31</xdr:col>
      <xdr:colOff>447480</xdr:colOff>
      <xdr:row>303</xdr:row>
      <xdr:rowOff>180720</xdr:rowOff>
    </xdr:to>
    <xdr:graphicFrame>
      <xdr:nvGraphicFramePr>
        <xdr:cNvPr id="28" name="1 Gráfico"/>
        <xdr:cNvGraphicFramePr/>
      </xdr:nvGraphicFramePr>
      <xdr:xfrm>
        <a:off x="21450240" y="52282440"/>
        <a:ext cx="3609720" cy="1807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33</xdr:col>
      <xdr:colOff>542880</xdr:colOff>
      <xdr:row>303</xdr:row>
      <xdr:rowOff>0</xdr:rowOff>
    </xdr:from>
    <xdr:to>
      <xdr:col>37</xdr:col>
      <xdr:colOff>761760</xdr:colOff>
      <xdr:row>303</xdr:row>
      <xdr:rowOff>180720</xdr:rowOff>
    </xdr:to>
    <xdr:graphicFrame>
      <xdr:nvGraphicFramePr>
        <xdr:cNvPr id="29" name="3 Gráfico"/>
        <xdr:cNvGraphicFramePr/>
      </xdr:nvGraphicFramePr>
      <xdr:xfrm>
        <a:off x="26736480" y="52282440"/>
        <a:ext cx="3381120" cy="1807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27</xdr:col>
      <xdr:colOff>0</xdr:colOff>
      <xdr:row>304</xdr:row>
      <xdr:rowOff>0</xdr:rowOff>
    </xdr:from>
    <xdr:to>
      <xdr:col>30</xdr:col>
      <xdr:colOff>418680</xdr:colOff>
      <xdr:row>304</xdr:row>
      <xdr:rowOff>171000</xdr:rowOff>
    </xdr:to>
    <xdr:graphicFrame>
      <xdr:nvGraphicFramePr>
        <xdr:cNvPr id="30" name="10 Gráfico"/>
        <xdr:cNvGraphicFramePr/>
      </xdr:nvGraphicFramePr>
      <xdr:xfrm>
        <a:off x="21450240" y="52463520"/>
        <a:ext cx="2790360" cy="1710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36</xdr:col>
      <xdr:colOff>247680</xdr:colOff>
      <xdr:row>304</xdr:row>
      <xdr:rowOff>0</xdr:rowOff>
    </xdr:from>
    <xdr:to>
      <xdr:col>39</xdr:col>
      <xdr:colOff>666360</xdr:colOff>
      <xdr:row>304</xdr:row>
      <xdr:rowOff>171000</xdr:rowOff>
    </xdr:to>
    <xdr:graphicFrame>
      <xdr:nvGraphicFramePr>
        <xdr:cNvPr id="31" name="11 Gráfico"/>
        <xdr:cNvGraphicFramePr/>
      </xdr:nvGraphicFramePr>
      <xdr:xfrm>
        <a:off x="28812960" y="52463520"/>
        <a:ext cx="2790360" cy="17100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27</xdr:col>
      <xdr:colOff>0</xdr:colOff>
      <xdr:row>305</xdr:row>
      <xdr:rowOff>0</xdr:rowOff>
    </xdr:from>
    <xdr:to>
      <xdr:col>30</xdr:col>
      <xdr:colOff>418680</xdr:colOff>
      <xdr:row>308</xdr:row>
      <xdr:rowOff>28080</xdr:rowOff>
    </xdr:to>
    <xdr:graphicFrame>
      <xdr:nvGraphicFramePr>
        <xdr:cNvPr id="32" name="14 Gráfico"/>
        <xdr:cNvGraphicFramePr/>
      </xdr:nvGraphicFramePr>
      <xdr:xfrm>
        <a:off x="21450240" y="52634880"/>
        <a:ext cx="2790360" cy="5425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36</xdr:col>
      <xdr:colOff>676440</xdr:colOff>
      <xdr:row>305</xdr:row>
      <xdr:rowOff>0</xdr:rowOff>
    </xdr:from>
    <xdr:to>
      <xdr:col>41</xdr:col>
      <xdr:colOff>218880</xdr:colOff>
      <xdr:row>311</xdr:row>
      <xdr:rowOff>75960</xdr:rowOff>
    </xdr:to>
    <xdr:graphicFrame>
      <xdr:nvGraphicFramePr>
        <xdr:cNvPr id="33" name="15 Gráfico"/>
        <xdr:cNvGraphicFramePr/>
      </xdr:nvGraphicFramePr>
      <xdr:xfrm>
        <a:off x="29241720" y="52634880"/>
        <a:ext cx="3495240" cy="110484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27</xdr:col>
      <xdr:colOff>0</xdr:colOff>
      <xdr:row>318</xdr:row>
      <xdr:rowOff>0</xdr:rowOff>
    </xdr:from>
    <xdr:to>
      <xdr:col>30</xdr:col>
      <xdr:colOff>418680</xdr:colOff>
      <xdr:row>331</xdr:row>
      <xdr:rowOff>95040</xdr:rowOff>
    </xdr:to>
    <xdr:graphicFrame>
      <xdr:nvGraphicFramePr>
        <xdr:cNvPr id="34" name="16 Gráfico"/>
        <xdr:cNvGraphicFramePr/>
      </xdr:nvGraphicFramePr>
      <xdr:xfrm>
        <a:off x="21450240" y="54873360"/>
        <a:ext cx="2790360" cy="235260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37</xdr:col>
      <xdr:colOff>0</xdr:colOff>
      <xdr:row>319</xdr:row>
      <xdr:rowOff>0</xdr:rowOff>
    </xdr:from>
    <xdr:to>
      <xdr:col>40</xdr:col>
      <xdr:colOff>418680</xdr:colOff>
      <xdr:row>332</xdr:row>
      <xdr:rowOff>104400</xdr:rowOff>
    </xdr:to>
    <xdr:graphicFrame>
      <xdr:nvGraphicFramePr>
        <xdr:cNvPr id="35" name="17 Gráfico"/>
        <xdr:cNvGraphicFramePr/>
      </xdr:nvGraphicFramePr>
      <xdr:xfrm>
        <a:off x="29355840" y="55054440"/>
        <a:ext cx="2790360" cy="235224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44</xdr:col>
      <xdr:colOff>0</xdr:colOff>
      <xdr:row>303</xdr:row>
      <xdr:rowOff>0</xdr:rowOff>
    </xdr:from>
    <xdr:to>
      <xdr:col>47</xdr:col>
      <xdr:colOff>418680</xdr:colOff>
      <xdr:row>303</xdr:row>
      <xdr:rowOff>180720</xdr:rowOff>
    </xdr:to>
    <xdr:graphicFrame>
      <xdr:nvGraphicFramePr>
        <xdr:cNvPr id="36" name="18 Gráfico"/>
        <xdr:cNvGraphicFramePr/>
      </xdr:nvGraphicFramePr>
      <xdr:xfrm>
        <a:off x="34889760" y="52282440"/>
        <a:ext cx="2790720" cy="18072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54</xdr:col>
      <xdr:colOff>0</xdr:colOff>
      <xdr:row>303</xdr:row>
      <xdr:rowOff>0</xdr:rowOff>
    </xdr:from>
    <xdr:to>
      <xdr:col>57</xdr:col>
      <xdr:colOff>418680</xdr:colOff>
      <xdr:row>303</xdr:row>
      <xdr:rowOff>180720</xdr:rowOff>
    </xdr:to>
    <xdr:graphicFrame>
      <xdr:nvGraphicFramePr>
        <xdr:cNvPr id="37" name="19 Gráfico"/>
        <xdr:cNvGraphicFramePr/>
      </xdr:nvGraphicFramePr>
      <xdr:xfrm>
        <a:off x="42795720" y="52282440"/>
        <a:ext cx="2790360" cy="18072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44</xdr:col>
      <xdr:colOff>0</xdr:colOff>
      <xdr:row>304</xdr:row>
      <xdr:rowOff>0</xdr:rowOff>
    </xdr:from>
    <xdr:to>
      <xdr:col>47</xdr:col>
      <xdr:colOff>418680</xdr:colOff>
      <xdr:row>304</xdr:row>
      <xdr:rowOff>171000</xdr:rowOff>
    </xdr:to>
    <xdr:graphicFrame>
      <xdr:nvGraphicFramePr>
        <xdr:cNvPr id="38" name="24 Gráfico"/>
        <xdr:cNvGraphicFramePr/>
      </xdr:nvGraphicFramePr>
      <xdr:xfrm>
        <a:off x="34889760" y="52463520"/>
        <a:ext cx="2790720" cy="17100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54</xdr:col>
      <xdr:colOff>0</xdr:colOff>
      <xdr:row>304</xdr:row>
      <xdr:rowOff>0</xdr:rowOff>
    </xdr:from>
    <xdr:to>
      <xdr:col>57</xdr:col>
      <xdr:colOff>418680</xdr:colOff>
      <xdr:row>304</xdr:row>
      <xdr:rowOff>171000</xdr:rowOff>
    </xdr:to>
    <xdr:graphicFrame>
      <xdr:nvGraphicFramePr>
        <xdr:cNvPr id="39" name="25 Gráfico"/>
        <xdr:cNvGraphicFramePr/>
      </xdr:nvGraphicFramePr>
      <xdr:xfrm>
        <a:off x="42795720" y="52463520"/>
        <a:ext cx="2790360" cy="17100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43</xdr:col>
      <xdr:colOff>752400</xdr:colOff>
      <xdr:row>305</xdr:row>
      <xdr:rowOff>0</xdr:rowOff>
    </xdr:from>
    <xdr:to>
      <xdr:col>47</xdr:col>
      <xdr:colOff>409320</xdr:colOff>
      <xdr:row>310</xdr:row>
      <xdr:rowOff>114120</xdr:rowOff>
    </xdr:to>
    <xdr:graphicFrame>
      <xdr:nvGraphicFramePr>
        <xdr:cNvPr id="40" name="28 Gráfico"/>
        <xdr:cNvGraphicFramePr/>
      </xdr:nvGraphicFramePr>
      <xdr:xfrm>
        <a:off x="34851600" y="52634880"/>
        <a:ext cx="2819520" cy="97164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54</xdr:col>
      <xdr:colOff>0</xdr:colOff>
      <xdr:row>305</xdr:row>
      <xdr:rowOff>0</xdr:rowOff>
    </xdr:from>
    <xdr:to>
      <xdr:col>57</xdr:col>
      <xdr:colOff>418680</xdr:colOff>
      <xdr:row>311</xdr:row>
      <xdr:rowOff>104400</xdr:rowOff>
    </xdr:to>
    <xdr:graphicFrame>
      <xdr:nvGraphicFramePr>
        <xdr:cNvPr id="41" name="29 Gráfico"/>
        <xdr:cNvGraphicFramePr/>
      </xdr:nvGraphicFramePr>
      <xdr:xfrm>
        <a:off x="42795720" y="52634880"/>
        <a:ext cx="2790360" cy="113328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44</xdr:col>
      <xdr:colOff>0</xdr:colOff>
      <xdr:row>318</xdr:row>
      <xdr:rowOff>0</xdr:rowOff>
    </xdr:from>
    <xdr:to>
      <xdr:col>47</xdr:col>
      <xdr:colOff>418680</xdr:colOff>
      <xdr:row>331</xdr:row>
      <xdr:rowOff>95040</xdr:rowOff>
    </xdr:to>
    <xdr:graphicFrame>
      <xdr:nvGraphicFramePr>
        <xdr:cNvPr id="42" name="30 Gráfico"/>
        <xdr:cNvGraphicFramePr/>
      </xdr:nvGraphicFramePr>
      <xdr:xfrm>
        <a:off x="34889760" y="54873360"/>
        <a:ext cx="2790720" cy="235260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54</xdr:col>
      <xdr:colOff>0</xdr:colOff>
      <xdr:row>318</xdr:row>
      <xdr:rowOff>0</xdr:rowOff>
    </xdr:from>
    <xdr:to>
      <xdr:col>57</xdr:col>
      <xdr:colOff>418680</xdr:colOff>
      <xdr:row>331</xdr:row>
      <xdr:rowOff>95040</xdr:rowOff>
    </xdr:to>
    <xdr:graphicFrame>
      <xdr:nvGraphicFramePr>
        <xdr:cNvPr id="43" name="31 Gráfico"/>
        <xdr:cNvGraphicFramePr/>
      </xdr:nvGraphicFramePr>
      <xdr:xfrm>
        <a:off x="42795720" y="54873360"/>
        <a:ext cx="2790360" cy="235260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63</xdr:col>
      <xdr:colOff>0</xdr:colOff>
      <xdr:row>303</xdr:row>
      <xdr:rowOff>0</xdr:rowOff>
    </xdr:from>
    <xdr:to>
      <xdr:col>66</xdr:col>
      <xdr:colOff>418680</xdr:colOff>
      <xdr:row>303</xdr:row>
      <xdr:rowOff>180720</xdr:rowOff>
    </xdr:to>
    <xdr:graphicFrame>
      <xdr:nvGraphicFramePr>
        <xdr:cNvPr id="44" name="18 Gráfico"/>
        <xdr:cNvGraphicFramePr/>
      </xdr:nvGraphicFramePr>
      <xdr:xfrm>
        <a:off x="49910760" y="52282440"/>
        <a:ext cx="2790360" cy="18072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61</xdr:col>
      <xdr:colOff>247680</xdr:colOff>
      <xdr:row>304</xdr:row>
      <xdr:rowOff>0</xdr:rowOff>
    </xdr:from>
    <xdr:to>
      <xdr:col>64</xdr:col>
      <xdr:colOff>666360</xdr:colOff>
      <xdr:row>304</xdr:row>
      <xdr:rowOff>171000</xdr:rowOff>
    </xdr:to>
    <xdr:graphicFrame>
      <xdr:nvGraphicFramePr>
        <xdr:cNvPr id="45" name="11 Gráfico"/>
        <xdr:cNvGraphicFramePr/>
      </xdr:nvGraphicFramePr>
      <xdr:xfrm>
        <a:off x="48577320" y="52463520"/>
        <a:ext cx="2790360" cy="17100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62</xdr:col>
      <xdr:colOff>0</xdr:colOff>
      <xdr:row>318</xdr:row>
      <xdr:rowOff>0</xdr:rowOff>
    </xdr:from>
    <xdr:to>
      <xdr:col>65</xdr:col>
      <xdr:colOff>418680</xdr:colOff>
      <xdr:row>331</xdr:row>
      <xdr:rowOff>104400</xdr:rowOff>
    </xdr:to>
    <xdr:graphicFrame>
      <xdr:nvGraphicFramePr>
        <xdr:cNvPr id="46" name="17 Gráfico"/>
        <xdr:cNvGraphicFramePr/>
      </xdr:nvGraphicFramePr>
      <xdr:xfrm>
        <a:off x="49120200" y="54873360"/>
        <a:ext cx="2790360" cy="236196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71</xdr:col>
      <xdr:colOff>0</xdr:colOff>
      <xdr:row>303</xdr:row>
      <xdr:rowOff>0</xdr:rowOff>
    </xdr:from>
    <xdr:to>
      <xdr:col>74</xdr:col>
      <xdr:colOff>418680</xdr:colOff>
      <xdr:row>303</xdr:row>
      <xdr:rowOff>180720</xdr:rowOff>
    </xdr:to>
    <xdr:graphicFrame>
      <xdr:nvGraphicFramePr>
        <xdr:cNvPr id="47" name="19 Gráfico"/>
        <xdr:cNvGraphicFramePr/>
      </xdr:nvGraphicFramePr>
      <xdr:xfrm>
        <a:off x="56235600" y="52282440"/>
        <a:ext cx="2790360" cy="18072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69</xdr:col>
      <xdr:colOff>0</xdr:colOff>
      <xdr:row>304</xdr:row>
      <xdr:rowOff>0</xdr:rowOff>
    </xdr:from>
    <xdr:to>
      <xdr:col>72</xdr:col>
      <xdr:colOff>418680</xdr:colOff>
      <xdr:row>304</xdr:row>
      <xdr:rowOff>171000</xdr:rowOff>
    </xdr:to>
    <xdr:graphicFrame>
      <xdr:nvGraphicFramePr>
        <xdr:cNvPr id="48" name="25 Gráfico"/>
        <xdr:cNvGraphicFramePr/>
      </xdr:nvGraphicFramePr>
      <xdr:xfrm>
        <a:off x="54654120" y="52463520"/>
        <a:ext cx="2790720" cy="17100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63</xdr:col>
      <xdr:colOff>0</xdr:colOff>
      <xdr:row>305</xdr:row>
      <xdr:rowOff>0</xdr:rowOff>
    </xdr:from>
    <xdr:to>
      <xdr:col>66</xdr:col>
      <xdr:colOff>418680</xdr:colOff>
      <xdr:row>311</xdr:row>
      <xdr:rowOff>104400</xdr:rowOff>
    </xdr:to>
    <xdr:graphicFrame>
      <xdr:nvGraphicFramePr>
        <xdr:cNvPr id="49" name="29 Gráfico"/>
        <xdr:cNvGraphicFramePr/>
      </xdr:nvGraphicFramePr>
      <xdr:xfrm>
        <a:off x="49910760" y="52634880"/>
        <a:ext cx="2790360" cy="113328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70</xdr:col>
      <xdr:colOff>0</xdr:colOff>
      <xdr:row>318</xdr:row>
      <xdr:rowOff>0</xdr:rowOff>
    </xdr:from>
    <xdr:to>
      <xdr:col>73</xdr:col>
      <xdr:colOff>418680</xdr:colOff>
      <xdr:row>331</xdr:row>
      <xdr:rowOff>95040</xdr:rowOff>
    </xdr:to>
    <xdr:graphicFrame>
      <xdr:nvGraphicFramePr>
        <xdr:cNvPr id="50" name="31 Gráfico"/>
        <xdr:cNvGraphicFramePr/>
      </xdr:nvGraphicFramePr>
      <xdr:xfrm>
        <a:off x="55444680" y="54873360"/>
        <a:ext cx="2790720" cy="235260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14</xdr:col>
      <xdr:colOff>638280</xdr:colOff>
      <xdr:row>18</xdr:row>
      <xdr:rowOff>133200</xdr:rowOff>
    </xdr:from>
    <xdr:to>
      <xdr:col>20</xdr:col>
      <xdr:colOff>313920</xdr:colOff>
      <xdr:row>32</xdr:row>
      <xdr:rowOff>37440</xdr:rowOff>
    </xdr:to>
    <xdr:graphicFrame>
      <xdr:nvGraphicFramePr>
        <xdr:cNvPr id="51" name="43 Gráfico"/>
        <xdr:cNvGraphicFramePr/>
      </xdr:nvGraphicFramePr>
      <xdr:xfrm>
        <a:off x="11810880" y="3228480"/>
        <a:ext cx="4419000" cy="234288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oneCell">
    <xdr:from>
      <xdr:col>14</xdr:col>
      <xdr:colOff>609480</xdr:colOff>
      <xdr:row>34</xdr:row>
      <xdr:rowOff>9360</xdr:rowOff>
    </xdr:from>
    <xdr:to>
      <xdr:col>20</xdr:col>
      <xdr:colOff>285120</xdr:colOff>
      <xdr:row>47</xdr:row>
      <xdr:rowOff>294840</xdr:rowOff>
    </xdr:to>
    <xdr:graphicFrame>
      <xdr:nvGraphicFramePr>
        <xdr:cNvPr id="52" name="32 Gráfico"/>
        <xdr:cNvGraphicFramePr/>
      </xdr:nvGraphicFramePr>
      <xdr:xfrm>
        <a:off x="11782080" y="5886000"/>
        <a:ext cx="4419000" cy="234288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oneCell">
    <xdr:from>
      <xdr:col>14</xdr:col>
      <xdr:colOff>613800</xdr:colOff>
      <xdr:row>48</xdr:row>
      <xdr:rowOff>164160</xdr:rowOff>
    </xdr:from>
    <xdr:to>
      <xdr:col>20</xdr:col>
      <xdr:colOff>289440</xdr:colOff>
      <xdr:row>62</xdr:row>
      <xdr:rowOff>116280</xdr:rowOff>
    </xdr:to>
    <xdr:graphicFrame>
      <xdr:nvGraphicFramePr>
        <xdr:cNvPr id="53" name="33 Gráfico"/>
        <xdr:cNvGraphicFramePr/>
      </xdr:nvGraphicFramePr>
      <xdr:xfrm>
        <a:off x="11786400" y="8460360"/>
        <a:ext cx="4419000" cy="235224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oneCell">
    <xdr:from>
      <xdr:col>14</xdr:col>
      <xdr:colOff>581040</xdr:colOff>
      <xdr:row>64</xdr:row>
      <xdr:rowOff>66600</xdr:rowOff>
    </xdr:from>
    <xdr:to>
      <xdr:col>20</xdr:col>
      <xdr:colOff>256680</xdr:colOff>
      <xdr:row>78</xdr:row>
      <xdr:rowOff>18720</xdr:rowOff>
    </xdr:to>
    <xdr:graphicFrame>
      <xdr:nvGraphicFramePr>
        <xdr:cNvPr id="54" name="34 Gráfico"/>
        <xdr:cNvGraphicFramePr/>
      </xdr:nvGraphicFramePr>
      <xdr:xfrm>
        <a:off x="11753640" y="11106000"/>
        <a:ext cx="4419000" cy="235224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8</xdr:col>
      <xdr:colOff>733320</xdr:colOff>
      <xdr:row>92</xdr:row>
      <xdr:rowOff>162000</xdr:rowOff>
    </xdr:from>
    <xdr:to>
      <xdr:col>14</xdr:col>
      <xdr:colOff>349560</xdr:colOff>
      <xdr:row>106</xdr:row>
      <xdr:rowOff>114120</xdr:rowOff>
    </xdr:to>
    <xdr:graphicFrame>
      <xdr:nvGraphicFramePr>
        <xdr:cNvPr id="55" name="35 Gráfico"/>
        <xdr:cNvGraphicFramePr/>
      </xdr:nvGraphicFramePr>
      <xdr:xfrm>
        <a:off x="7105320" y="17002080"/>
        <a:ext cx="4416840" cy="218088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8</xdr:col>
      <xdr:colOff>485640</xdr:colOff>
      <xdr:row>284</xdr:row>
      <xdr:rowOff>85680</xdr:rowOff>
    </xdr:from>
    <xdr:to>
      <xdr:col>14</xdr:col>
      <xdr:colOff>101880</xdr:colOff>
      <xdr:row>297</xdr:row>
      <xdr:rowOff>37800</xdr:rowOff>
    </xdr:to>
    <xdr:graphicFrame>
      <xdr:nvGraphicFramePr>
        <xdr:cNvPr id="56" name="36 Gráfico"/>
        <xdr:cNvGraphicFramePr/>
      </xdr:nvGraphicFramePr>
      <xdr:xfrm>
        <a:off x="6857640" y="49110840"/>
        <a:ext cx="4416840" cy="218088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8</xdr:col>
      <xdr:colOff>743040</xdr:colOff>
      <xdr:row>109</xdr:row>
      <xdr:rowOff>85680</xdr:rowOff>
    </xdr:from>
    <xdr:to>
      <xdr:col>14</xdr:col>
      <xdr:colOff>359280</xdr:colOff>
      <xdr:row>123</xdr:row>
      <xdr:rowOff>33120</xdr:rowOff>
    </xdr:to>
    <xdr:graphicFrame>
      <xdr:nvGraphicFramePr>
        <xdr:cNvPr id="57" name="37 Gráfico"/>
        <xdr:cNvGraphicFramePr/>
      </xdr:nvGraphicFramePr>
      <xdr:xfrm>
        <a:off x="7115040" y="19668960"/>
        <a:ext cx="4416840" cy="217620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editAs="oneCell">
    <xdr:from>
      <xdr:col>8</xdr:col>
      <xdr:colOff>685800</xdr:colOff>
      <xdr:row>127</xdr:row>
      <xdr:rowOff>0</xdr:rowOff>
    </xdr:from>
    <xdr:to>
      <xdr:col>14</xdr:col>
      <xdr:colOff>302040</xdr:colOff>
      <xdr:row>140</xdr:row>
      <xdr:rowOff>130680</xdr:rowOff>
    </xdr:to>
    <xdr:graphicFrame>
      <xdr:nvGraphicFramePr>
        <xdr:cNvPr id="58" name="38 Gráfico"/>
        <xdr:cNvGraphicFramePr/>
      </xdr:nvGraphicFramePr>
      <xdr:xfrm>
        <a:off x="7057800" y="22326480"/>
        <a:ext cx="4416840" cy="218808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editAs="oneCell">
    <xdr:from>
      <xdr:col>8</xdr:col>
      <xdr:colOff>504720</xdr:colOff>
      <xdr:row>142</xdr:row>
      <xdr:rowOff>9360</xdr:rowOff>
    </xdr:from>
    <xdr:to>
      <xdr:col>14</xdr:col>
      <xdr:colOff>120960</xdr:colOff>
      <xdr:row>155</xdr:row>
      <xdr:rowOff>128160</xdr:rowOff>
    </xdr:to>
    <xdr:graphicFrame>
      <xdr:nvGraphicFramePr>
        <xdr:cNvPr id="59" name="39 Gráfico"/>
        <xdr:cNvGraphicFramePr/>
      </xdr:nvGraphicFramePr>
      <xdr:xfrm>
        <a:off x="6876720" y="24735960"/>
        <a:ext cx="4416840" cy="277632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8</xdr:col>
      <xdr:colOff>409680</xdr:colOff>
      <xdr:row>171</xdr:row>
      <xdr:rowOff>76320</xdr:rowOff>
    </xdr:from>
    <xdr:to>
      <xdr:col>14</xdr:col>
      <xdr:colOff>25920</xdr:colOff>
      <xdr:row>187</xdr:row>
      <xdr:rowOff>40320</xdr:rowOff>
    </xdr:to>
    <xdr:graphicFrame>
      <xdr:nvGraphicFramePr>
        <xdr:cNvPr id="60" name="40 Gráfico"/>
        <xdr:cNvGraphicFramePr/>
      </xdr:nvGraphicFramePr>
      <xdr:xfrm>
        <a:off x="6781680" y="30346560"/>
        <a:ext cx="4416840" cy="219276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8</xdr:col>
      <xdr:colOff>438120</xdr:colOff>
      <xdr:row>208</xdr:row>
      <xdr:rowOff>19080</xdr:rowOff>
    </xdr:from>
    <xdr:to>
      <xdr:col>14</xdr:col>
      <xdr:colOff>54360</xdr:colOff>
      <xdr:row>220</xdr:row>
      <xdr:rowOff>149760</xdr:rowOff>
    </xdr:to>
    <xdr:graphicFrame>
      <xdr:nvGraphicFramePr>
        <xdr:cNvPr id="61" name="41 Gráfico"/>
        <xdr:cNvGraphicFramePr/>
      </xdr:nvGraphicFramePr>
      <xdr:xfrm>
        <a:off x="6810120" y="35585280"/>
        <a:ext cx="4416840" cy="218808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editAs="oneCell">
    <xdr:from>
      <xdr:col>8</xdr:col>
      <xdr:colOff>399960</xdr:colOff>
      <xdr:row>189</xdr:row>
      <xdr:rowOff>104760</xdr:rowOff>
    </xdr:from>
    <xdr:to>
      <xdr:col>14</xdr:col>
      <xdr:colOff>16200</xdr:colOff>
      <xdr:row>205</xdr:row>
      <xdr:rowOff>80640</xdr:rowOff>
    </xdr:to>
    <xdr:graphicFrame>
      <xdr:nvGraphicFramePr>
        <xdr:cNvPr id="62" name="42 Gráfico"/>
        <xdr:cNvGraphicFramePr/>
      </xdr:nvGraphicFramePr>
      <xdr:xfrm>
        <a:off x="6771960" y="32946840"/>
        <a:ext cx="4416840" cy="218556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editAs="oneCell">
    <xdr:from>
      <xdr:col>8</xdr:col>
      <xdr:colOff>485640</xdr:colOff>
      <xdr:row>223</xdr:row>
      <xdr:rowOff>66600</xdr:rowOff>
    </xdr:from>
    <xdr:to>
      <xdr:col>14</xdr:col>
      <xdr:colOff>101880</xdr:colOff>
      <xdr:row>236</xdr:row>
      <xdr:rowOff>30600</xdr:rowOff>
    </xdr:to>
    <xdr:graphicFrame>
      <xdr:nvGraphicFramePr>
        <xdr:cNvPr id="63" name="44 Gráfico"/>
        <xdr:cNvGraphicFramePr/>
      </xdr:nvGraphicFramePr>
      <xdr:xfrm>
        <a:off x="6857640" y="38204640"/>
        <a:ext cx="4416840" cy="219276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editAs="oneCell">
    <xdr:from>
      <xdr:col>8</xdr:col>
      <xdr:colOff>399960</xdr:colOff>
      <xdr:row>238</xdr:row>
      <xdr:rowOff>142920</xdr:rowOff>
    </xdr:from>
    <xdr:to>
      <xdr:col>14</xdr:col>
      <xdr:colOff>16200</xdr:colOff>
      <xdr:row>249</xdr:row>
      <xdr:rowOff>11520</xdr:rowOff>
    </xdr:to>
    <xdr:graphicFrame>
      <xdr:nvGraphicFramePr>
        <xdr:cNvPr id="64" name="45 Gráfico"/>
        <xdr:cNvGraphicFramePr/>
      </xdr:nvGraphicFramePr>
      <xdr:xfrm>
        <a:off x="6771960" y="40852440"/>
        <a:ext cx="4416840" cy="218340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editAs="oneCell">
    <xdr:from>
      <xdr:col>8</xdr:col>
      <xdr:colOff>457200</xdr:colOff>
      <xdr:row>269</xdr:row>
      <xdr:rowOff>66600</xdr:rowOff>
    </xdr:from>
    <xdr:to>
      <xdr:col>14</xdr:col>
      <xdr:colOff>73440</xdr:colOff>
      <xdr:row>282</xdr:row>
      <xdr:rowOff>18720</xdr:rowOff>
    </xdr:to>
    <xdr:graphicFrame>
      <xdr:nvGraphicFramePr>
        <xdr:cNvPr id="65" name="46 Gráfico"/>
        <xdr:cNvGraphicFramePr/>
      </xdr:nvGraphicFramePr>
      <xdr:xfrm>
        <a:off x="6829200" y="46519920"/>
        <a:ext cx="4416840" cy="218088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editAs="oneCell">
    <xdr:from>
      <xdr:col>9</xdr:col>
      <xdr:colOff>123840</xdr:colOff>
      <xdr:row>78</xdr:row>
      <xdr:rowOff>85680</xdr:rowOff>
    </xdr:from>
    <xdr:to>
      <xdr:col>14</xdr:col>
      <xdr:colOff>525600</xdr:colOff>
      <xdr:row>86</xdr:row>
      <xdr:rowOff>37800</xdr:rowOff>
    </xdr:to>
    <xdr:graphicFrame>
      <xdr:nvGraphicFramePr>
        <xdr:cNvPr id="66" name="47 Gráfico"/>
        <xdr:cNvGraphicFramePr/>
      </xdr:nvGraphicFramePr>
      <xdr:xfrm>
        <a:off x="7305480" y="13525200"/>
        <a:ext cx="4392720" cy="232380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editAs="oneCell">
    <xdr:from>
      <xdr:col>20</xdr:col>
      <xdr:colOff>733320</xdr:colOff>
      <xdr:row>18</xdr:row>
      <xdr:rowOff>38160</xdr:rowOff>
    </xdr:from>
    <xdr:to>
      <xdr:col>24</xdr:col>
      <xdr:colOff>266400</xdr:colOff>
      <xdr:row>26</xdr:row>
      <xdr:rowOff>171000</xdr:rowOff>
    </xdr:to>
    <xdr:graphicFrame>
      <xdr:nvGraphicFramePr>
        <xdr:cNvPr id="67" name="56 Gráfico"/>
        <xdr:cNvGraphicFramePr/>
      </xdr:nvGraphicFramePr>
      <xdr:xfrm>
        <a:off x="16649280" y="3133440"/>
        <a:ext cx="2695680" cy="133308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editAs="oneCell">
    <xdr:from>
      <xdr:col>24</xdr:col>
      <xdr:colOff>428760</xdr:colOff>
      <xdr:row>18</xdr:row>
      <xdr:rowOff>38160</xdr:rowOff>
    </xdr:from>
    <xdr:to>
      <xdr:col>27</xdr:col>
      <xdr:colOff>723600</xdr:colOff>
      <xdr:row>26</xdr:row>
      <xdr:rowOff>171000</xdr:rowOff>
    </xdr:to>
    <xdr:graphicFrame>
      <xdr:nvGraphicFramePr>
        <xdr:cNvPr id="68" name="57 Gráfico"/>
        <xdr:cNvGraphicFramePr/>
      </xdr:nvGraphicFramePr>
      <xdr:xfrm>
        <a:off x="19507320" y="3133440"/>
        <a:ext cx="2666520" cy="133308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editAs="oneCell">
    <xdr:from>
      <xdr:col>21</xdr:col>
      <xdr:colOff>66600</xdr:colOff>
      <xdr:row>34</xdr:row>
      <xdr:rowOff>38160</xdr:rowOff>
    </xdr:from>
    <xdr:to>
      <xdr:col>24</xdr:col>
      <xdr:colOff>361440</xdr:colOff>
      <xdr:row>43</xdr:row>
      <xdr:rowOff>158760</xdr:rowOff>
    </xdr:to>
    <xdr:graphicFrame>
      <xdr:nvGraphicFramePr>
        <xdr:cNvPr id="69" name="58 Gráfico"/>
        <xdr:cNvGraphicFramePr/>
      </xdr:nvGraphicFramePr>
      <xdr:xfrm>
        <a:off x="16773120" y="5914800"/>
        <a:ext cx="2666880" cy="149220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editAs="oneCell">
    <xdr:from>
      <xdr:col>24</xdr:col>
      <xdr:colOff>523800</xdr:colOff>
      <xdr:row>34</xdr:row>
      <xdr:rowOff>28440</xdr:rowOff>
    </xdr:from>
    <xdr:to>
      <xdr:col>28</xdr:col>
      <xdr:colOff>56880</xdr:colOff>
      <xdr:row>43</xdr:row>
      <xdr:rowOff>149040</xdr:rowOff>
    </xdr:to>
    <xdr:graphicFrame>
      <xdr:nvGraphicFramePr>
        <xdr:cNvPr id="70" name="59 Gráfico"/>
        <xdr:cNvGraphicFramePr/>
      </xdr:nvGraphicFramePr>
      <xdr:xfrm>
        <a:off x="19602360" y="5905080"/>
        <a:ext cx="2695320" cy="149220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editAs="oneCell">
    <xdr:from>
      <xdr:col>21</xdr:col>
      <xdr:colOff>142920</xdr:colOff>
      <xdr:row>51</xdr:row>
      <xdr:rowOff>28440</xdr:rowOff>
    </xdr:from>
    <xdr:to>
      <xdr:col>24</xdr:col>
      <xdr:colOff>437760</xdr:colOff>
      <xdr:row>60</xdr:row>
      <xdr:rowOff>137160</xdr:rowOff>
    </xdr:to>
    <xdr:graphicFrame>
      <xdr:nvGraphicFramePr>
        <xdr:cNvPr id="71" name="60 Gráfico"/>
        <xdr:cNvGraphicFramePr/>
      </xdr:nvGraphicFramePr>
      <xdr:xfrm>
        <a:off x="16849440" y="8838720"/>
        <a:ext cx="2666880" cy="165204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editAs="oneCell">
    <xdr:from>
      <xdr:col>24</xdr:col>
      <xdr:colOff>619200</xdr:colOff>
      <xdr:row>51</xdr:row>
      <xdr:rowOff>19080</xdr:rowOff>
    </xdr:from>
    <xdr:to>
      <xdr:col>28</xdr:col>
      <xdr:colOff>152280</xdr:colOff>
      <xdr:row>60</xdr:row>
      <xdr:rowOff>127800</xdr:rowOff>
    </xdr:to>
    <xdr:graphicFrame>
      <xdr:nvGraphicFramePr>
        <xdr:cNvPr id="72" name="61 Gráfico"/>
        <xdr:cNvGraphicFramePr/>
      </xdr:nvGraphicFramePr>
      <xdr:xfrm>
        <a:off x="19697760" y="8829360"/>
        <a:ext cx="2695320" cy="165204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editAs="oneCell">
    <xdr:from>
      <xdr:col>21</xdr:col>
      <xdr:colOff>181080</xdr:colOff>
      <xdr:row>66</xdr:row>
      <xdr:rowOff>47520</xdr:rowOff>
    </xdr:from>
    <xdr:to>
      <xdr:col>24</xdr:col>
      <xdr:colOff>475920</xdr:colOff>
      <xdr:row>75</xdr:row>
      <xdr:rowOff>156240</xdr:rowOff>
    </xdr:to>
    <xdr:graphicFrame>
      <xdr:nvGraphicFramePr>
        <xdr:cNvPr id="73" name="62 Gráfico"/>
        <xdr:cNvGraphicFramePr/>
      </xdr:nvGraphicFramePr>
      <xdr:xfrm>
        <a:off x="16887600" y="11429640"/>
        <a:ext cx="2666880" cy="165168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editAs="oneCell">
    <xdr:from>
      <xdr:col>24</xdr:col>
      <xdr:colOff>685800</xdr:colOff>
      <xdr:row>66</xdr:row>
      <xdr:rowOff>47520</xdr:rowOff>
    </xdr:from>
    <xdr:to>
      <xdr:col>28</xdr:col>
      <xdr:colOff>218880</xdr:colOff>
      <xdr:row>75</xdr:row>
      <xdr:rowOff>156240</xdr:rowOff>
    </xdr:to>
    <xdr:graphicFrame>
      <xdr:nvGraphicFramePr>
        <xdr:cNvPr id="74" name="63 Gráfico"/>
        <xdr:cNvGraphicFramePr/>
      </xdr:nvGraphicFramePr>
      <xdr:xfrm>
        <a:off x="19764360" y="11429640"/>
        <a:ext cx="2695320" cy="165168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editAs="oneCell">
    <xdr:from>
      <xdr:col>15</xdr:col>
      <xdr:colOff>123840</xdr:colOff>
      <xdr:row>93</xdr:row>
      <xdr:rowOff>114480</xdr:rowOff>
    </xdr:from>
    <xdr:to>
      <xdr:col>18</xdr:col>
      <xdr:colOff>418680</xdr:colOff>
      <xdr:row>103</xdr:row>
      <xdr:rowOff>56520</xdr:rowOff>
    </xdr:to>
    <xdr:graphicFrame>
      <xdr:nvGraphicFramePr>
        <xdr:cNvPr id="75" name="64 Gráfico"/>
        <xdr:cNvGraphicFramePr/>
      </xdr:nvGraphicFramePr>
      <xdr:xfrm>
        <a:off x="12087000" y="17125920"/>
        <a:ext cx="2666520" cy="148500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editAs="oneCell">
    <xdr:from>
      <xdr:col>18</xdr:col>
      <xdr:colOff>561960</xdr:colOff>
      <xdr:row>93</xdr:row>
      <xdr:rowOff>104760</xdr:rowOff>
    </xdr:from>
    <xdr:to>
      <xdr:col>22</xdr:col>
      <xdr:colOff>95040</xdr:colOff>
      <xdr:row>103</xdr:row>
      <xdr:rowOff>46800</xdr:rowOff>
    </xdr:to>
    <xdr:graphicFrame>
      <xdr:nvGraphicFramePr>
        <xdr:cNvPr id="76" name="65 Gráfico"/>
        <xdr:cNvGraphicFramePr/>
      </xdr:nvGraphicFramePr>
      <xdr:xfrm>
        <a:off x="14896800" y="17116200"/>
        <a:ext cx="2695320" cy="148500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editAs="oneCell">
    <xdr:from>
      <xdr:col>15</xdr:col>
      <xdr:colOff>314280</xdr:colOff>
      <xdr:row>111</xdr:row>
      <xdr:rowOff>28440</xdr:rowOff>
    </xdr:from>
    <xdr:to>
      <xdr:col>18</xdr:col>
      <xdr:colOff>609120</xdr:colOff>
      <xdr:row>119</xdr:row>
      <xdr:rowOff>137160</xdr:rowOff>
    </xdr:to>
    <xdr:graphicFrame>
      <xdr:nvGraphicFramePr>
        <xdr:cNvPr id="77" name="66 Gráfico"/>
        <xdr:cNvGraphicFramePr/>
      </xdr:nvGraphicFramePr>
      <xdr:xfrm>
        <a:off x="12277440" y="19783080"/>
        <a:ext cx="2666520" cy="148032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editAs="oneCell">
    <xdr:from>
      <xdr:col>18</xdr:col>
      <xdr:colOff>752400</xdr:colOff>
      <xdr:row>111</xdr:row>
      <xdr:rowOff>0</xdr:rowOff>
    </xdr:from>
    <xdr:to>
      <xdr:col>22</xdr:col>
      <xdr:colOff>285480</xdr:colOff>
      <xdr:row>119</xdr:row>
      <xdr:rowOff>108720</xdr:rowOff>
    </xdr:to>
    <xdr:graphicFrame>
      <xdr:nvGraphicFramePr>
        <xdr:cNvPr id="78" name="67 Gráfico"/>
        <xdr:cNvGraphicFramePr/>
      </xdr:nvGraphicFramePr>
      <xdr:xfrm>
        <a:off x="15087240" y="19754640"/>
        <a:ext cx="2695320" cy="148032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editAs="oneCell">
    <xdr:from>
      <xdr:col>15</xdr:col>
      <xdr:colOff>169200</xdr:colOff>
      <xdr:row>127</xdr:row>
      <xdr:rowOff>0</xdr:rowOff>
    </xdr:from>
    <xdr:to>
      <xdr:col>18</xdr:col>
      <xdr:colOff>464040</xdr:colOff>
      <xdr:row>136</xdr:row>
      <xdr:rowOff>13320</xdr:rowOff>
    </xdr:to>
    <xdr:graphicFrame>
      <xdr:nvGraphicFramePr>
        <xdr:cNvPr id="79" name="68 Gráfico"/>
        <xdr:cNvGraphicFramePr/>
      </xdr:nvGraphicFramePr>
      <xdr:xfrm>
        <a:off x="12132360" y="22326480"/>
        <a:ext cx="2666520" cy="155628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editAs="oneCell">
    <xdr:from>
      <xdr:col>18</xdr:col>
      <xdr:colOff>573840</xdr:colOff>
      <xdr:row>127</xdr:row>
      <xdr:rowOff>0</xdr:rowOff>
    </xdr:from>
    <xdr:to>
      <xdr:col>22</xdr:col>
      <xdr:colOff>106920</xdr:colOff>
      <xdr:row>136</xdr:row>
      <xdr:rowOff>13320</xdr:rowOff>
    </xdr:to>
    <xdr:graphicFrame>
      <xdr:nvGraphicFramePr>
        <xdr:cNvPr id="80" name="69 Gráfico"/>
        <xdr:cNvGraphicFramePr/>
      </xdr:nvGraphicFramePr>
      <xdr:xfrm>
        <a:off x="14908680" y="22326480"/>
        <a:ext cx="2695320" cy="155628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editAs="oneCell">
    <xdr:from>
      <xdr:col>15</xdr:col>
      <xdr:colOff>209520</xdr:colOff>
      <xdr:row>142</xdr:row>
      <xdr:rowOff>28440</xdr:rowOff>
    </xdr:from>
    <xdr:to>
      <xdr:col>18</xdr:col>
      <xdr:colOff>504360</xdr:colOff>
      <xdr:row>151</xdr:row>
      <xdr:rowOff>137160</xdr:rowOff>
    </xdr:to>
    <xdr:graphicFrame>
      <xdr:nvGraphicFramePr>
        <xdr:cNvPr id="81" name="70 Gráfico"/>
        <xdr:cNvGraphicFramePr/>
      </xdr:nvGraphicFramePr>
      <xdr:xfrm>
        <a:off x="12172680" y="24755040"/>
        <a:ext cx="2666520" cy="165204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editAs="oneCell">
    <xdr:from>
      <xdr:col>18</xdr:col>
      <xdr:colOff>609480</xdr:colOff>
      <xdr:row>142</xdr:row>
      <xdr:rowOff>28440</xdr:rowOff>
    </xdr:from>
    <xdr:to>
      <xdr:col>22</xdr:col>
      <xdr:colOff>142560</xdr:colOff>
      <xdr:row>151</xdr:row>
      <xdr:rowOff>137160</xdr:rowOff>
    </xdr:to>
    <xdr:graphicFrame>
      <xdr:nvGraphicFramePr>
        <xdr:cNvPr id="82" name="71 Gráfico"/>
        <xdr:cNvGraphicFramePr/>
      </xdr:nvGraphicFramePr>
      <xdr:xfrm>
        <a:off x="14944320" y="24755040"/>
        <a:ext cx="2695320" cy="165204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editAs="oneCell">
    <xdr:from>
      <xdr:col>15</xdr:col>
      <xdr:colOff>66600</xdr:colOff>
      <xdr:row>172</xdr:row>
      <xdr:rowOff>85680</xdr:rowOff>
    </xdr:from>
    <xdr:to>
      <xdr:col>18</xdr:col>
      <xdr:colOff>361440</xdr:colOff>
      <xdr:row>184</xdr:row>
      <xdr:rowOff>39600</xdr:rowOff>
    </xdr:to>
    <xdr:graphicFrame>
      <xdr:nvGraphicFramePr>
        <xdr:cNvPr id="83" name="72 Gráfico"/>
        <xdr:cNvGraphicFramePr/>
      </xdr:nvGraphicFramePr>
      <xdr:xfrm>
        <a:off x="12029760" y="30527280"/>
        <a:ext cx="2666520" cy="149724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editAs="oneCell">
    <xdr:from>
      <xdr:col>18</xdr:col>
      <xdr:colOff>542880</xdr:colOff>
      <xdr:row>172</xdr:row>
      <xdr:rowOff>76320</xdr:rowOff>
    </xdr:from>
    <xdr:to>
      <xdr:col>22</xdr:col>
      <xdr:colOff>75960</xdr:colOff>
      <xdr:row>184</xdr:row>
      <xdr:rowOff>30240</xdr:rowOff>
    </xdr:to>
    <xdr:graphicFrame>
      <xdr:nvGraphicFramePr>
        <xdr:cNvPr id="84" name="73 Gráfico"/>
        <xdr:cNvGraphicFramePr/>
      </xdr:nvGraphicFramePr>
      <xdr:xfrm>
        <a:off x="14877720" y="30517920"/>
        <a:ext cx="2695320" cy="149724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editAs="oneCell">
    <xdr:from>
      <xdr:col>15</xdr:col>
      <xdr:colOff>9360</xdr:colOff>
      <xdr:row>189</xdr:row>
      <xdr:rowOff>152280</xdr:rowOff>
    </xdr:from>
    <xdr:to>
      <xdr:col>18</xdr:col>
      <xdr:colOff>304200</xdr:colOff>
      <xdr:row>201</xdr:row>
      <xdr:rowOff>118080</xdr:rowOff>
    </xdr:to>
    <xdr:graphicFrame>
      <xdr:nvGraphicFramePr>
        <xdr:cNvPr id="85" name="74 Gráfico"/>
        <xdr:cNvGraphicFramePr/>
      </xdr:nvGraphicFramePr>
      <xdr:xfrm>
        <a:off x="11972520" y="32994360"/>
        <a:ext cx="2666520" cy="148968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editAs="oneCell">
    <xdr:from>
      <xdr:col>18</xdr:col>
      <xdr:colOff>457200</xdr:colOff>
      <xdr:row>189</xdr:row>
      <xdr:rowOff>162000</xdr:rowOff>
    </xdr:from>
    <xdr:to>
      <xdr:col>21</xdr:col>
      <xdr:colOff>752040</xdr:colOff>
      <xdr:row>201</xdr:row>
      <xdr:rowOff>127800</xdr:rowOff>
    </xdr:to>
    <xdr:graphicFrame>
      <xdr:nvGraphicFramePr>
        <xdr:cNvPr id="86" name="75 Gráfico"/>
        <xdr:cNvGraphicFramePr/>
      </xdr:nvGraphicFramePr>
      <xdr:xfrm>
        <a:off x="14792040" y="33004080"/>
        <a:ext cx="2666520" cy="148968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editAs="oneCell">
    <xdr:from>
      <xdr:col>15</xdr:col>
      <xdr:colOff>285840</xdr:colOff>
      <xdr:row>223</xdr:row>
      <xdr:rowOff>66600</xdr:rowOff>
    </xdr:from>
    <xdr:to>
      <xdr:col>18</xdr:col>
      <xdr:colOff>580680</xdr:colOff>
      <xdr:row>232</xdr:row>
      <xdr:rowOff>20520</xdr:rowOff>
    </xdr:to>
    <xdr:graphicFrame>
      <xdr:nvGraphicFramePr>
        <xdr:cNvPr id="87" name="78 Gráfico"/>
        <xdr:cNvGraphicFramePr/>
      </xdr:nvGraphicFramePr>
      <xdr:xfrm>
        <a:off x="12249000" y="38204640"/>
        <a:ext cx="2666520" cy="149688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editAs="oneCell">
    <xdr:from>
      <xdr:col>18</xdr:col>
      <xdr:colOff>685800</xdr:colOff>
      <xdr:row>223</xdr:row>
      <xdr:rowOff>66600</xdr:rowOff>
    </xdr:from>
    <xdr:to>
      <xdr:col>22</xdr:col>
      <xdr:colOff>218880</xdr:colOff>
      <xdr:row>232</xdr:row>
      <xdr:rowOff>20520</xdr:rowOff>
    </xdr:to>
    <xdr:graphicFrame>
      <xdr:nvGraphicFramePr>
        <xdr:cNvPr id="88" name="79 Gráfico"/>
        <xdr:cNvGraphicFramePr/>
      </xdr:nvGraphicFramePr>
      <xdr:xfrm>
        <a:off x="15020640" y="38204640"/>
        <a:ext cx="2695320" cy="149688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editAs="oneCell">
    <xdr:from>
      <xdr:col>14</xdr:col>
      <xdr:colOff>628560</xdr:colOff>
      <xdr:row>270</xdr:row>
      <xdr:rowOff>19080</xdr:rowOff>
    </xdr:from>
    <xdr:to>
      <xdr:col>18</xdr:col>
      <xdr:colOff>161640</xdr:colOff>
      <xdr:row>278</xdr:row>
      <xdr:rowOff>127800</xdr:rowOff>
    </xdr:to>
    <xdr:graphicFrame>
      <xdr:nvGraphicFramePr>
        <xdr:cNvPr id="89" name="80 Gráfico"/>
        <xdr:cNvGraphicFramePr/>
      </xdr:nvGraphicFramePr>
      <xdr:xfrm>
        <a:off x="11801160" y="46643760"/>
        <a:ext cx="2695320" cy="148032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editAs="oneCell">
    <xdr:from>
      <xdr:col>18</xdr:col>
      <xdr:colOff>466560</xdr:colOff>
      <xdr:row>270</xdr:row>
      <xdr:rowOff>0</xdr:rowOff>
    </xdr:from>
    <xdr:to>
      <xdr:col>21</xdr:col>
      <xdr:colOff>790200</xdr:colOff>
      <xdr:row>278</xdr:row>
      <xdr:rowOff>108720</xdr:rowOff>
    </xdr:to>
    <xdr:graphicFrame>
      <xdr:nvGraphicFramePr>
        <xdr:cNvPr id="90" name="81 Gráfico"/>
        <xdr:cNvGraphicFramePr/>
      </xdr:nvGraphicFramePr>
      <xdr:xfrm>
        <a:off x="14801400" y="46624680"/>
        <a:ext cx="2695320" cy="148032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editAs="oneCell">
    <xdr:from>
      <xdr:col>15</xdr:col>
      <xdr:colOff>0</xdr:colOff>
      <xdr:row>285</xdr:row>
      <xdr:rowOff>0</xdr:rowOff>
    </xdr:from>
    <xdr:to>
      <xdr:col>18</xdr:col>
      <xdr:colOff>294840</xdr:colOff>
      <xdr:row>293</xdr:row>
      <xdr:rowOff>108720</xdr:rowOff>
    </xdr:to>
    <xdr:graphicFrame>
      <xdr:nvGraphicFramePr>
        <xdr:cNvPr id="91" name="82 Gráfico"/>
        <xdr:cNvGraphicFramePr/>
      </xdr:nvGraphicFramePr>
      <xdr:xfrm>
        <a:off x="11963160" y="49196520"/>
        <a:ext cx="2666520" cy="148032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twoCellAnchor editAs="oneCell">
    <xdr:from>
      <xdr:col>18</xdr:col>
      <xdr:colOff>523800</xdr:colOff>
      <xdr:row>284</xdr:row>
      <xdr:rowOff>123840</xdr:rowOff>
    </xdr:from>
    <xdr:to>
      <xdr:col>22</xdr:col>
      <xdr:colOff>56880</xdr:colOff>
      <xdr:row>293</xdr:row>
      <xdr:rowOff>65880</xdr:rowOff>
    </xdr:to>
    <xdr:graphicFrame>
      <xdr:nvGraphicFramePr>
        <xdr:cNvPr id="92" name="83 Gráfico"/>
        <xdr:cNvGraphicFramePr/>
      </xdr:nvGraphicFramePr>
      <xdr:xfrm>
        <a:off x="14858640" y="49149000"/>
        <a:ext cx="2695320" cy="1485000"/>
      </xdr:xfrm>
      <a:graphic>
        <a:graphicData uri="http://schemas.openxmlformats.org/drawingml/2006/chart">
          <c:chart xmlns:c="http://schemas.openxmlformats.org/drawingml/2006/chart" xmlns:r="http://schemas.openxmlformats.org/officeDocument/2006/relationships" r:id="rId65"/>
        </a:graphicData>
      </a:graphic>
    </xdr:graphicFrame>
    <xdr:clientData/>
  </xdr:twoCellAnchor>
  <xdr:twoCellAnchor editAs="oneCell">
    <xdr:from>
      <xdr:col>8</xdr:col>
      <xdr:colOff>752400</xdr:colOff>
      <xdr:row>18</xdr:row>
      <xdr:rowOff>28440</xdr:rowOff>
    </xdr:from>
    <xdr:to>
      <xdr:col>14</xdr:col>
      <xdr:colOff>368640</xdr:colOff>
      <xdr:row>31</xdr:row>
      <xdr:rowOff>313920</xdr:rowOff>
    </xdr:to>
    <xdr:graphicFrame>
      <xdr:nvGraphicFramePr>
        <xdr:cNvPr id="93" name="67 Gráfico"/>
        <xdr:cNvGraphicFramePr/>
      </xdr:nvGraphicFramePr>
      <xdr:xfrm>
        <a:off x="7124400" y="3123720"/>
        <a:ext cx="4416840" cy="2342880"/>
      </xdr:xfrm>
      <a:graphic>
        <a:graphicData uri="http://schemas.openxmlformats.org/drawingml/2006/chart">
          <c:chart xmlns:c="http://schemas.openxmlformats.org/drawingml/2006/chart" xmlns:r="http://schemas.openxmlformats.org/officeDocument/2006/relationships" r:id="rId66"/>
        </a:graphicData>
      </a:graphic>
    </xdr:graphicFrame>
    <xdr:clientData/>
  </xdr:twoCellAnchor>
  <xdr:twoCellAnchor editAs="oneCell">
    <xdr:from>
      <xdr:col>8</xdr:col>
      <xdr:colOff>781200</xdr:colOff>
      <xdr:row>33</xdr:row>
      <xdr:rowOff>57240</xdr:rowOff>
    </xdr:from>
    <xdr:to>
      <xdr:col>14</xdr:col>
      <xdr:colOff>397440</xdr:colOff>
      <xdr:row>47</xdr:row>
      <xdr:rowOff>176040</xdr:rowOff>
    </xdr:to>
    <xdr:graphicFrame>
      <xdr:nvGraphicFramePr>
        <xdr:cNvPr id="94" name="68 Gráfico"/>
        <xdr:cNvGraphicFramePr/>
      </xdr:nvGraphicFramePr>
      <xdr:xfrm>
        <a:off x="7153200" y="5762520"/>
        <a:ext cx="4416840" cy="2347560"/>
      </xdr:xfrm>
      <a:graphic>
        <a:graphicData uri="http://schemas.openxmlformats.org/drawingml/2006/chart">
          <c:chart xmlns:c="http://schemas.openxmlformats.org/drawingml/2006/chart" xmlns:r="http://schemas.openxmlformats.org/officeDocument/2006/relationships" r:id="rId67"/>
        </a:graphicData>
      </a:graphic>
    </xdr:graphicFrame>
    <xdr:clientData/>
  </xdr:twoCellAnchor>
  <xdr:twoCellAnchor editAs="oneCell">
    <xdr:from>
      <xdr:col>9</xdr:col>
      <xdr:colOff>9360</xdr:colOff>
      <xdr:row>49</xdr:row>
      <xdr:rowOff>57240</xdr:rowOff>
    </xdr:from>
    <xdr:to>
      <xdr:col>14</xdr:col>
      <xdr:colOff>411120</xdr:colOff>
      <xdr:row>63</xdr:row>
      <xdr:rowOff>9360</xdr:rowOff>
    </xdr:to>
    <xdr:graphicFrame>
      <xdr:nvGraphicFramePr>
        <xdr:cNvPr id="95" name="69 Gráfico"/>
        <xdr:cNvGraphicFramePr/>
      </xdr:nvGraphicFramePr>
      <xdr:xfrm>
        <a:off x="7191000" y="8524800"/>
        <a:ext cx="4392720" cy="2352240"/>
      </xdr:xfrm>
      <a:graphic>
        <a:graphicData uri="http://schemas.openxmlformats.org/drawingml/2006/chart">
          <c:chart xmlns:c="http://schemas.openxmlformats.org/drawingml/2006/chart" xmlns:r="http://schemas.openxmlformats.org/officeDocument/2006/relationships" r:id="rId68"/>
        </a:graphicData>
      </a:graphic>
    </xdr:graphicFrame>
    <xdr:clientData/>
  </xdr:twoCellAnchor>
  <xdr:twoCellAnchor editAs="oneCell">
    <xdr:from>
      <xdr:col>8</xdr:col>
      <xdr:colOff>762120</xdr:colOff>
      <xdr:row>63</xdr:row>
      <xdr:rowOff>152280</xdr:rowOff>
    </xdr:from>
    <xdr:to>
      <xdr:col>14</xdr:col>
      <xdr:colOff>378360</xdr:colOff>
      <xdr:row>77</xdr:row>
      <xdr:rowOff>104400</xdr:rowOff>
    </xdr:to>
    <xdr:graphicFrame>
      <xdr:nvGraphicFramePr>
        <xdr:cNvPr id="96" name="70 Gráfico"/>
        <xdr:cNvGraphicFramePr/>
      </xdr:nvGraphicFramePr>
      <xdr:xfrm>
        <a:off x="7134120" y="11019960"/>
        <a:ext cx="4416840" cy="2352600"/>
      </xdr:xfrm>
      <a:graphic>
        <a:graphicData uri="http://schemas.openxmlformats.org/drawingml/2006/chart">
          <c:chart xmlns:c="http://schemas.openxmlformats.org/drawingml/2006/chart" xmlns:r="http://schemas.openxmlformats.org/officeDocument/2006/relationships" r:id="rId69"/>
        </a:graphicData>
      </a:graphic>
    </xdr:graphicFrame>
    <xdr:clientData/>
  </xdr:twoCellAnchor>
  <xdr:twoCellAnchor editAs="oneCell">
    <xdr:from>
      <xdr:col>8</xdr:col>
      <xdr:colOff>361800</xdr:colOff>
      <xdr:row>253</xdr:row>
      <xdr:rowOff>19080</xdr:rowOff>
    </xdr:from>
    <xdr:to>
      <xdr:col>13</xdr:col>
      <xdr:colOff>739800</xdr:colOff>
      <xdr:row>266</xdr:row>
      <xdr:rowOff>137880</xdr:rowOff>
    </xdr:to>
    <xdr:graphicFrame>
      <xdr:nvGraphicFramePr>
        <xdr:cNvPr id="97" name="70 Gráfico"/>
        <xdr:cNvGraphicFramePr/>
      </xdr:nvGraphicFramePr>
      <xdr:xfrm>
        <a:off x="6733800" y="43729200"/>
        <a:ext cx="4388040" cy="2347560"/>
      </xdr:xfrm>
      <a:graphic>
        <a:graphicData uri="http://schemas.openxmlformats.org/drawingml/2006/chart">
          <c:chart xmlns:c="http://schemas.openxmlformats.org/drawingml/2006/chart" xmlns:r="http://schemas.openxmlformats.org/officeDocument/2006/relationships" r:id="rId70"/>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561960</xdr:colOff>
      <xdr:row>9</xdr:row>
      <xdr:rowOff>57240</xdr:rowOff>
    </xdr:from>
    <xdr:to>
      <xdr:col>14</xdr:col>
      <xdr:colOff>237600</xdr:colOff>
      <xdr:row>24</xdr:row>
      <xdr:rowOff>47520</xdr:rowOff>
    </xdr:to>
    <xdr:graphicFrame>
      <xdr:nvGraphicFramePr>
        <xdr:cNvPr id="98" name="27 Gráfico"/>
        <xdr:cNvGraphicFramePr/>
      </xdr:nvGraphicFramePr>
      <xdr:xfrm>
        <a:off x="7343640" y="1428840"/>
        <a:ext cx="4419000" cy="22950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0</xdr:colOff>
      <xdr:row>9</xdr:row>
      <xdr:rowOff>28440</xdr:rowOff>
    </xdr:from>
    <xdr:to>
      <xdr:col>20</xdr:col>
      <xdr:colOff>437760</xdr:colOff>
      <xdr:row>24</xdr:row>
      <xdr:rowOff>18720</xdr:rowOff>
    </xdr:to>
    <xdr:graphicFrame>
      <xdr:nvGraphicFramePr>
        <xdr:cNvPr id="99" name="27 Gráfico"/>
        <xdr:cNvGraphicFramePr/>
      </xdr:nvGraphicFramePr>
      <xdr:xfrm>
        <a:off x="12315600" y="1400040"/>
        <a:ext cx="4390560" cy="22950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514440</xdr:colOff>
      <xdr:row>31</xdr:row>
      <xdr:rowOff>85680</xdr:rowOff>
    </xdr:from>
    <xdr:to>
      <xdr:col>14</xdr:col>
      <xdr:colOff>190080</xdr:colOff>
      <xdr:row>46</xdr:row>
      <xdr:rowOff>75960</xdr:rowOff>
    </xdr:to>
    <xdr:graphicFrame>
      <xdr:nvGraphicFramePr>
        <xdr:cNvPr id="100" name="27 Gráfico"/>
        <xdr:cNvGraphicFramePr/>
      </xdr:nvGraphicFramePr>
      <xdr:xfrm>
        <a:off x="7296120" y="4829040"/>
        <a:ext cx="4419000" cy="22953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15</xdr:col>
      <xdr:colOff>0</xdr:colOff>
      <xdr:row>32</xdr:row>
      <xdr:rowOff>0</xdr:rowOff>
    </xdr:from>
    <xdr:to>
      <xdr:col>20</xdr:col>
      <xdr:colOff>437760</xdr:colOff>
      <xdr:row>46</xdr:row>
      <xdr:rowOff>142560</xdr:rowOff>
    </xdr:to>
    <xdr:graphicFrame>
      <xdr:nvGraphicFramePr>
        <xdr:cNvPr id="101" name="27 Gráfico"/>
        <xdr:cNvGraphicFramePr/>
      </xdr:nvGraphicFramePr>
      <xdr:xfrm>
        <a:off x="12315600" y="4895640"/>
        <a:ext cx="4390560" cy="2295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8</xdr:col>
      <xdr:colOff>504720</xdr:colOff>
      <xdr:row>53</xdr:row>
      <xdr:rowOff>76320</xdr:rowOff>
    </xdr:from>
    <xdr:to>
      <xdr:col>14</xdr:col>
      <xdr:colOff>371160</xdr:colOff>
      <xdr:row>62</xdr:row>
      <xdr:rowOff>37800</xdr:rowOff>
    </xdr:to>
    <xdr:graphicFrame>
      <xdr:nvGraphicFramePr>
        <xdr:cNvPr id="102" name="10 Gráfico"/>
        <xdr:cNvGraphicFramePr/>
      </xdr:nvGraphicFramePr>
      <xdr:xfrm>
        <a:off x="7286400" y="8191440"/>
        <a:ext cx="4609800" cy="242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15</xdr:col>
      <xdr:colOff>0</xdr:colOff>
      <xdr:row>53</xdr:row>
      <xdr:rowOff>104760</xdr:rowOff>
    </xdr:from>
    <xdr:to>
      <xdr:col>20</xdr:col>
      <xdr:colOff>437760</xdr:colOff>
      <xdr:row>61</xdr:row>
      <xdr:rowOff>285480</xdr:rowOff>
    </xdr:to>
    <xdr:graphicFrame>
      <xdr:nvGraphicFramePr>
        <xdr:cNvPr id="103" name="11 Gráfico"/>
        <xdr:cNvGraphicFramePr/>
      </xdr:nvGraphicFramePr>
      <xdr:xfrm>
        <a:off x="12315600" y="8219880"/>
        <a:ext cx="4390560" cy="232380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21</xdr:col>
      <xdr:colOff>722880</xdr:colOff>
      <xdr:row>10</xdr:row>
      <xdr:rowOff>48600</xdr:rowOff>
    </xdr:from>
    <xdr:to>
      <xdr:col>25</xdr:col>
      <xdr:colOff>255960</xdr:colOff>
      <xdr:row>20</xdr:row>
      <xdr:rowOff>129600</xdr:rowOff>
    </xdr:to>
    <xdr:graphicFrame>
      <xdr:nvGraphicFramePr>
        <xdr:cNvPr id="104" name="15 Gráfico"/>
        <xdr:cNvGraphicFramePr/>
      </xdr:nvGraphicFramePr>
      <xdr:xfrm>
        <a:off x="17781840" y="1572480"/>
        <a:ext cx="2695680" cy="160488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25</xdr:col>
      <xdr:colOff>571680</xdr:colOff>
      <xdr:row>10</xdr:row>
      <xdr:rowOff>28440</xdr:rowOff>
    </xdr:from>
    <xdr:to>
      <xdr:col>29</xdr:col>
      <xdr:colOff>104760</xdr:colOff>
      <xdr:row>20</xdr:row>
      <xdr:rowOff>113760</xdr:rowOff>
    </xdr:to>
    <xdr:graphicFrame>
      <xdr:nvGraphicFramePr>
        <xdr:cNvPr id="105" name="16 Gráfico"/>
        <xdr:cNvGraphicFramePr/>
      </xdr:nvGraphicFramePr>
      <xdr:xfrm>
        <a:off x="20793240" y="1552320"/>
        <a:ext cx="2695320" cy="160920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21</xdr:col>
      <xdr:colOff>752400</xdr:colOff>
      <xdr:row>32</xdr:row>
      <xdr:rowOff>28440</xdr:rowOff>
    </xdr:from>
    <xdr:to>
      <xdr:col>25</xdr:col>
      <xdr:colOff>285480</xdr:colOff>
      <xdr:row>42</xdr:row>
      <xdr:rowOff>113760</xdr:rowOff>
    </xdr:to>
    <xdr:graphicFrame>
      <xdr:nvGraphicFramePr>
        <xdr:cNvPr id="106" name="17 Gráfico"/>
        <xdr:cNvGraphicFramePr/>
      </xdr:nvGraphicFramePr>
      <xdr:xfrm>
        <a:off x="17811360" y="4924080"/>
        <a:ext cx="2695680" cy="160920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25</xdr:col>
      <xdr:colOff>476280</xdr:colOff>
      <xdr:row>32</xdr:row>
      <xdr:rowOff>19080</xdr:rowOff>
    </xdr:from>
    <xdr:to>
      <xdr:col>29</xdr:col>
      <xdr:colOff>9360</xdr:colOff>
      <xdr:row>42</xdr:row>
      <xdr:rowOff>104400</xdr:rowOff>
    </xdr:to>
    <xdr:graphicFrame>
      <xdr:nvGraphicFramePr>
        <xdr:cNvPr id="107" name="18 Gráfico"/>
        <xdr:cNvGraphicFramePr/>
      </xdr:nvGraphicFramePr>
      <xdr:xfrm>
        <a:off x="20697840" y="4914720"/>
        <a:ext cx="2695320" cy="160920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22</xdr:col>
      <xdr:colOff>0</xdr:colOff>
      <xdr:row>54</xdr:row>
      <xdr:rowOff>0</xdr:rowOff>
    </xdr:from>
    <xdr:to>
      <xdr:col>25</xdr:col>
      <xdr:colOff>294840</xdr:colOff>
      <xdr:row>60</xdr:row>
      <xdr:rowOff>9000</xdr:rowOff>
    </xdr:to>
    <xdr:graphicFrame>
      <xdr:nvGraphicFramePr>
        <xdr:cNvPr id="108" name="19 Gráfico"/>
        <xdr:cNvGraphicFramePr/>
      </xdr:nvGraphicFramePr>
      <xdr:xfrm>
        <a:off x="17849520" y="8267400"/>
        <a:ext cx="2666880" cy="164736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26</xdr:col>
      <xdr:colOff>0</xdr:colOff>
      <xdr:row>54</xdr:row>
      <xdr:rowOff>0</xdr:rowOff>
    </xdr:from>
    <xdr:to>
      <xdr:col>29</xdr:col>
      <xdr:colOff>294840</xdr:colOff>
      <xdr:row>60</xdr:row>
      <xdr:rowOff>9000</xdr:rowOff>
    </xdr:to>
    <xdr:graphicFrame>
      <xdr:nvGraphicFramePr>
        <xdr:cNvPr id="109" name="20 Gráfico"/>
        <xdr:cNvGraphicFramePr/>
      </xdr:nvGraphicFramePr>
      <xdr:xfrm>
        <a:off x="21012120" y="8267400"/>
        <a:ext cx="2666520" cy="164736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8</xdr:col>
      <xdr:colOff>504720</xdr:colOff>
      <xdr:row>72</xdr:row>
      <xdr:rowOff>123840</xdr:rowOff>
    </xdr:from>
    <xdr:to>
      <xdr:col>14</xdr:col>
      <xdr:colOff>180360</xdr:colOff>
      <xdr:row>81</xdr:row>
      <xdr:rowOff>18720</xdr:rowOff>
    </xdr:to>
    <xdr:graphicFrame>
      <xdr:nvGraphicFramePr>
        <xdr:cNvPr id="110" name="21 Gráfico"/>
        <xdr:cNvGraphicFramePr/>
      </xdr:nvGraphicFramePr>
      <xdr:xfrm>
        <a:off x="7286400" y="12439440"/>
        <a:ext cx="4419000" cy="21427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14</xdr:col>
      <xdr:colOff>752400</xdr:colOff>
      <xdr:row>72</xdr:row>
      <xdr:rowOff>66600</xdr:rowOff>
    </xdr:from>
    <xdr:to>
      <xdr:col>20</xdr:col>
      <xdr:colOff>428040</xdr:colOff>
      <xdr:row>81</xdr:row>
      <xdr:rowOff>123480</xdr:rowOff>
    </xdr:to>
    <xdr:graphicFrame>
      <xdr:nvGraphicFramePr>
        <xdr:cNvPr id="111" name="22 Gráfico"/>
        <xdr:cNvGraphicFramePr/>
      </xdr:nvGraphicFramePr>
      <xdr:xfrm>
        <a:off x="12277440" y="12382200"/>
        <a:ext cx="4419000" cy="230472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22</xdr:col>
      <xdr:colOff>0</xdr:colOff>
      <xdr:row>74</xdr:row>
      <xdr:rowOff>0</xdr:rowOff>
    </xdr:from>
    <xdr:to>
      <xdr:col>25</xdr:col>
      <xdr:colOff>294840</xdr:colOff>
      <xdr:row>80</xdr:row>
      <xdr:rowOff>9000</xdr:rowOff>
    </xdr:to>
    <xdr:graphicFrame>
      <xdr:nvGraphicFramePr>
        <xdr:cNvPr id="112" name="23 Gráfico"/>
        <xdr:cNvGraphicFramePr/>
      </xdr:nvGraphicFramePr>
      <xdr:xfrm>
        <a:off x="17849520" y="12620520"/>
        <a:ext cx="2666880" cy="162828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26</xdr:col>
      <xdr:colOff>0</xdr:colOff>
      <xdr:row>74</xdr:row>
      <xdr:rowOff>0</xdr:rowOff>
    </xdr:from>
    <xdr:to>
      <xdr:col>29</xdr:col>
      <xdr:colOff>294840</xdr:colOff>
      <xdr:row>80</xdr:row>
      <xdr:rowOff>9000</xdr:rowOff>
    </xdr:to>
    <xdr:graphicFrame>
      <xdr:nvGraphicFramePr>
        <xdr:cNvPr id="113" name="24 Gráfico"/>
        <xdr:cNvGraphicFramePr/>
      </xdr:nvGraphicFramePr>
      <xdr:xfrm>
        <a:off x="21012120" y="12620520"/>
        <a:ext cx="2666520" cy="162828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8</xdr:col>
      <xdr:colOff>628560</xdr:colOff>
      <xdr:row>153</xdr:row>
      <xdr:rowOff>57240</xdr:rowOff>
    </xdr:from>
    <xdr:to>
      <xdr:col>14</xdr:col>
      <xdr:colOff>304200</xdr:colOff>
      <xdr:row>168</xdr:row>
      <xdr:rowOff>123480</xdr:rowOff>
    </xdr:to>
    <xdr:graphicFrame>
      <xdr:nvGraphicFramePr>
        <xdr:cNvPr id="114" name="25 Gráfico"/>
        <xdr:cNvGraphicFramePr/>
      </xdr:nvGraphicFramePr>
      <xdr:xfrm>
        <a:off x="7410240" y="26241120"/>
        <a:ext cx="4419000" cy="235224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8</xdr:col>
      <xdr:colOff>609480</xdr:colOff>
      <xdr:row>173</xdr:row>
      <xdr:rowOff>85680</xdr:rowOff>
    </xdr:from>
    <xdr:to>
      <xdr:col>14</xdr:col>
      <xdr:colOff>285120</xdr:colOff>
      <xdr:row>188</xdr:row>
      <xdr:rowOff>9000</xdr:rowOff>
    </xdr:to>
    <xdr:graphicFrame>
      <xdr:nvGraphicFramePr>
        <xdr:cNvPr id="115" name="26 Gráfico"/>
        <xdr:cNvGraphicFramePr/>
      </xdr:nvGraphicFramePr>
      <xdr:xfrm>
        <a:off x="7391160" y="29317680"/>
        <a:ext cx="4419000" cy="228564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8</xdr:col>
      <xdr:colOff>390600</xdr:colOff>
      <xdr:row>223</xdr:row>
      <xdr:rowOff>57240</xdr:rowOff>
    </xdr:from>
    <xdr:to>
      <xdr:col>14</xdr:col>
      <xdr:colOff>66240</xdr:colOff>
      <xdr:row>239</xdr:row>
      <xdr:rowOff>123480</xdr:rowOff>
    </xdr:to>
    <xdr:graphicFrame>
      <xdr:nvGraphicFramePr>
        <xdr:cNvPr id="116" name="27 Gráfico"/>
        <xdr:cNvGraphicFramePr/>
      </xdr:nvGraphicFramePr>
      <xdr:xfrm>
        <a:off x="7172280" y="39957120"/>
        <a:ext cx="4419000" cy="244764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8</xdr:col>
      <xdr:colOff>380880</xdr:colOff>
      <xdr:row>242</xdr:row>
      <xdr:rowOff>38160</xdr:rowOff>
    </xdr:from>
    <xdr:to>
      <xdr:col>14</xdr:col>
      <xdr:colOff>56520</xdr:colOff>
      <xdr:row>259</xdr:row>
      <xdr:rowOff>28440</xdr:rowOff>
    </xdr:to>
    <xdr:graphicFrame>
      <xdr:nvGraphicFramePr>
        <xdr:cNvPr id="117" name="28 Gráfico"/>
        <xdr:cNvGraphicFramePr/>
      </xdr:nvGraphicFramePr>
      <xdr:xfrm>
        <a:off x="7162560" y="42776640"/>
        <a:ext cx="4419000" cy="244764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15</xdr:col>
      <xdr:colOff>0</xdr:colOff>
      <xdr:row>154</xdr:row>
      <xdr:rowOff>0</xdr:rowOff>
    </xdr:from>
    <xdr:to>
      <xdr:col>18</xdr:col>
      <xdr:colOff>294840</xdr:colOff>
      <xdr:row>164</xdr:row>
      <xdr:rowOff>85320</xdr:rowOff>
    </xdr:to>
    <xdr:graphicFrame>
      <xdr:nvGraphicFramePr>
        <xdr:cNvPr id="118" name="31 Gráfico"/>
        <xdr:cNvGraphicFramePr/>
      </xdr:nvGraphicFramePr>
      <xdr:xfrm>
        <a:off x="12315600" y="26336520"/>
        <a:ext cx="2666520" cy="160920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19</xdr:col>
      <xdr:colOff>0</xdr:colOff>
      <xdr:row>154</xdr:row>
      <xdr:rowOff>0</xdr:rowOff>
    </xdr:from>
    <xdr:to>
      <xdr:col>22</xdr:col>
      <xdr:colOff>294840</xdr:colOff>
      <xdr:row>164</xdr:row>
      <xdr:rowOff>85320</xdr:rowOff>
    </xdr:to>
    <xdr:graphicFrame>
      <xdr:nvGraphicFramePr>
        <xdr:cNvPr id="119" name="32 Gráfico"/>
        <xdr:cNvGraphicFramePr/>
      </xdr:nvGraphicFramePr>
      <xdr:xfrm>
        <a:off x="15477840" y="26336520"/>
        <a:ext cx="2666520" cy="160920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15</xdr:col>
      <xdr:colOff>0</xdr:colOff>
      <xdr:row>176</xdr:row>
      <xdr:rowOff>0</xdr:rowOff>
    </xdr:from>
    <xdr:to>
      <xdr:col>18</xdr:col>
      <xdr:colOff>294840</xdr:colOff>
      <xdr:row>186</xdr:row>
      <xdr:rowOff>47160</xdr:rowOff>
    </xdr:to>
    <xdr:graphicFrame>
      <xdr:nvGraphicFramePr>
        <xdr:cNvPr id="120" name="33 Gráfico"/>
        <xdr:cNvGraphicFramePr/>
      </xdr:nvGraphicFramePr>
      <xdr:xfrm>
        <a:off x="12315600" y="29689200"/>
        <a:ext cx="2666520" cy="160920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19</xdr:col>
      <xdr:colOff>0</xdr:colOff>
      <xdr:row>176</xdr:row>
      <xdr:rowOff>0</xdr:rowOff>
    </xdr:from>
    <xdr:to>
      <xdr:col>22</xdr:col>
      <xdr:colOff>294840</xdr:colOff>
      <xdr:row>186</xdr:row>
      <xdr:rowOff>47160</xdr:rowOff>
    </xdr:to>
    <xdr:graphicFrame>
      <xdr:nvGraphicFramePr>
        <xdr:cNvPr id="121" name="34 Gráfico"/>
        <xdr:cNvGraphicFramePr/>
      </xdr:nvGraphicFramePr>
      <xdr:xfrm>
        <a:off x="15477840" y="29689200"/>
        <a:ext cx="2666520" cy="160920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oneCell">
    <xdr:from>
      <xdr:col>15</xdr:col>
      <xdr:colOff>0</xdr:colOff>
      <xdr:row>224</xdr:row>
      <xdr:rowOff>0</xdr:rowOff>
    </xdr:from>
    <xdr:to>
      <xdr:col>18</xdr:col>
      <xdr:colOff>294840</xdr:colOff>
      <xdr:row>236</xdr:row>
      <xdr:rowOff>9000</xdr:rowOff>
    </xdr:to>
    <xdr:graphicFrame>
      <xdr:nvGraphicFramePr>
        <xdr:cNvPr id="122" name="35 Gráfico"/>
        <xdr:cNvGraphicFramePr/>
      </xdr:nvGraphicFramePr>
      <xdr:xfrm>
        <a:off x="12315600" y="40061880"/>
        <a:ext cx="2666520" cy="177120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oneCell">
    <xdr:from>
      <xdr:col>19</xdr:col>
      <xdr:colOff>0</xdr:colOff>
      <xdr:row>224</xdr:row>
      <xdr:rowOff>0</xdr:rowOff>
    </xdr:from>
    <xdr:to>
      <xdr:col>22</xdr:col>
      <xdr:colOff>294840</xdr:colOff>
      <xdr:row>236</xdr:row>
      <xdr:rowOff>9000</xdr:rowOff>
    </xdr:to>
    <xdr:graphicFrame>
      <xdr:nvGraphicFramePr>
        <xdr:cNvPr id="123" name="36 Gráfico"/>
        <xdr:cNvGraphicFramePr/>
      </xdr:nvGraphicFramePr>
      <xdr:xfrm>
        <a:off x="15477840" y="40061880"/>
        <a:ext cx="2666520" cy="177120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oneCell">
    <xdr:from>
      <xdr:col>15</xdr:col>
      <xdr:colOff>28440</xdr:colOff>
      <xdr:row>243</xdr:row>
      <xdr:rowOff>104760</xdr:rowOff>
    </xdr:from>
    <xdr:to>
      <xdr:col>18</xdr:col>
      <xdr:colOff>323280</xdr:colOff>
      <xdr:row>256</xdr:row>
      <xdr:rowOff>28080</xdr:rowOff>
    </xdr:to>
    <xdr:graphicFrame>
      <xdr:nvGraphicFramePr>
        <xdr:cNvPr id="124" name="37 Gráfico"/>
        <xdr:cNvGraphicFramePr/>
      </xdr:nvGraphicFramePr>
      <xdr:xfrm>
        <a:off x="12344040" y="42995520"/>
        <a:ext cx="2666520" cy="177120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19</xdr:col>
      <xdr:colOff>28440</xdr:colOff>
      <xdr:row>243</xdr:row>
      <xdr:rowOff>104760</xdr:rowOff>
    </xdr:from>
    <xdr:to>
      <xdr:col>22</xdr:col>
      <xdr:colOff>323280</xdr:colOff>
      <xdr:row>256</xdr:row>
      <xdr:rowOff>28080</xdr:rowOff>
    </xdr:to>
    <xdr:graphicFrame>
      <xdr:nvGraphicFramePr>
        <xdr:cNvPr id="125" name="38 Gráfico"/>
        <xdr:cNvGraphicFramePr/>
      </xdr:nvGraphicFramePr>
      <xdr:xfrm>
        <a:off x="15506280" y="42995520"/>
        <a:ext cx="2666520" cy="177120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15</xdr:col>
      <xdr:colOff>133200</xdr:colOff>
      <xdr:row>261</xdr:row>
      <xdr:rowOff>209520</xdr:rowOff>
    </xdr:from>
    <xdr:to>
      <xdr:col>18</xdr:col>
      <xdr:colOff>428040</xdr:colOff>
      <xdr:row>268</xdr:row>
      <xdr:rowOff>123480</xdr:rowOff>
    </xdr:to>
    <xdr:graphicFrame>
      <xdr:nvGraphicFramePr>
        <xdr:cNvPr id="126" name="39 Gráfico"/>
        <xdr:cNvGraphicFramePr/>
      </xdr:nvGraphicFramePr>
      <xdr:xfrm>
        <a:off x="12448800" y="45710280"/>
        <a:ext cx="2666520" cy="160956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19</xdr:col>
      <xdr:colOff>9360</xdr:colOff>
      <xdr:row>261</xdr:row>
      <xdr:rowOff>228600</xdr:rowOff>
    </xdr:from>
    <xdr:to>
      <xdr:col>22</xdr:col>
      <xdr:colOff>304200</xdr:colOff>
      <xdr:row>268</xdr:row>
      <xdr:rowOff>142560</xdr:rowOff>
    </xdr:to>
    <xdr:graphicFrame>
      <xdr:nvGraphicFramePr>
        <xdr:cNvPr id="127" name="41 Gráfico"/>
        <xdr:cNvGraphicFramePr/>
      </xdr:nvGraphicFramePr>
      <xdr:xfrm>
        <a:off x="15487200" y="45729360"/>
        <a:ext cx="2666520" cy="160956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editAs="oneCell">
    <xdr:from>
      <xdr:col>15</xdr:col>
      <xdr:colOff>247680</xdr:colOff>
      <xdr:row>275</xdr:row>
      <xdr:rowOff>314280</xdr:rowOff>
    </xdr:from>
    <xdr:to>
      <xdr:col>18</xdr:col>
      <xdr:colOff>542520</xdr:colOff>
      <xdr:row>283</xdr:row>
      <xdr:rowOff>75960</xdr:rowOff>
    </xdr:to>
    <xdr:graphicFrame>
      <xdr:nvGraphicFramePr>
        <xdr:cNvPr id="128" name="44 Gráfico"/>
        <xdr:cNvGraphicFramePr/>
      </xdr:nvGraphicFramePr>
      <xdr:xfrm>
        <a:off x="12563280" y="48577320"/>
        <a:ext cx="2666520" cy="162864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editAs="oneCell">
    <xdr:from>
      <xdr:col>19</xdr:col>
      <xdr:colOff>114480</xdr:colOff>
      <xdr:row>275</xdr:row>
      <xdr:rowOff>304920</xdr:rowOff>
    </xdr:from>
    <xdr:to>
      <xdr:col>22</xdr:col>
      <xdr:colOff>409320</xdr:colOff>
      <xdr:row>283</xdr:row>
      <xdr:rowOff>66600</xdr:rowOff>
    </xdr:to>
    <xdr:graphicFrame>
      <xdr:nvGraphicFramePr>
        <xdr:cNvPr id="129" name="45 Gráfico"/>
        <xdr:cNvGraphicFramePr/>
      </xdr:nvGraphicFramePr>
      <xdr:xfrm>
        <a:off x="15592320" y="48567960"/>
        <a:ext cx="2666520" cy="162864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8</xdr:col>
      <xdr:colOff>371520</xdr:colOff>
      <xdr:row>286</xdr:row>
      <xdr:rowOff>114480</xdr:rowOff>
    </xdr:from>
    <xdr:to>
      <xdr:col>14</xdr:col>
      <xdr:colOff>47160</xdr:colOff>
      <xdr:row>301</xdr:row>
      <xdr:rowOff>114120</xdr:rowOff>
    </xdr:to>
    <xdr:graphicFrame>
      <xdr:nvGraphicFramePr>
        <xdr:cNvPr id="130" name="35 Gráfico"/>
        <xdr:cNvGraphicFramePr/>
      </xdr:nvGraphicFramePr>
      <xdr:xfrm>
        <a:off x="7153200" y="50701680"/>
        <a:ext cx="4419000" cy="228564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editAs="oneCell">
    <xdr:from>
      <xdr:col>15</xdr:col>
      <xdr:colOff>333360</xdr:colOff>
      <xdr:row>288</xdr:row>
      <xdr:rowOff>66600</xdr:rowOff>
    </xdr:from>
    <xdr:to>
      <xdr:col>18</xdr:col>
      <xdr:colOff>628200</xdr:colOff>
      <xdr:row>298</xdr:row>
      <xdr:rowOff>151920</xdr:rowOff>
    </xdr:to>
    <xdr:graphicFrame>
      <xdr:nvGraphicFramePr>
        <xdr:cNvPr id="131" name="44 Gráfico"/>
        <xdr:cNvGraphicFramePr/>
      </xdr:nvGraphicFramePr>
      <xdr:xfrm>
        <a:off x="12648960" y="50958360"/>
        <a:ext cx="2666520" cy="160956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editAs="oneCell">
    <xdr:from>
      <xdr:col>19</xdr:col>
      <xdr:colOff>266760</xdr:colOff>
      <xdr:row>288</xdr:row>
      <xdr:rowOff>38160</xdr:rowOff>
    </xdr:from>
    <xdr:to>
      <xdr:col>22</xdr:col>
      <xdr:colOff>561600</xdr:colOff>
      <xdr:row>298</xdr:row>
      <xdr:rowOff>123480</xdr:rowOff>
    </xdr:to>
    <xdr:graphicFrame>
      <xdr:nvGraphicFramePr>
        <xdr:cNvPr id="132" name="45 Gráfico"/>
        <xdr:cNvGraphicFramePr/>
      </xdr:nvGraphicFramePr>
      <xdr:xfrm>
        <a:off x="15744600" y="50929920"/>
        <a:ext cx="2666520" cy="160956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editAs="oneCell">
    <xdr:from>
      <xdr:col>8</xdr:col>
      <xdr:colOff>380880</xdr:colOff>
      <xdr:row>302</xdr:row>
      <xdr:rowOff>85680</xdr:rowOff>
    </xdr:from>
    <xdr:to>
      <xdr:col>14</xdr:col>
      <xdr:colOff>56520</xdr:colOff>
      <xdr:row>317</xdr:row>
      <xdr:rowOff>85320</xdr:rowOff>
    </xdr:to>
    <xdr:graphicFrame>
      <xdr:nvGraphicFramePr>
        <xdr:cNvPr id="133" name="38 Gráfico"/>
        <xdr:cNvGraphicFramePr/>
      </xdr:nvGraphicFramePr>
      <xdr:xfrm>
        <a:off x="7162560" y="53111160"/>
        <a:ext cx="4419000" cy="228564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editAs="oneCell">
    <xdr:from>
      <xdr:col>15</xdr:col>
      <xdr:colOff>438120</xdr:colOff>
      <xdr:row>305</xdr:row>
      <xdr:rowOff>104760</xdr:rowOff>
    </xdr:from>
    <xdr:to>
      <xdr:col>18</xdr:col>
      <xdr:colOff>732960</xdr:colOff>
      <xdr:row>316</xdr:row>
      <xdr:rowOff>37800</xdr:rowOff>
    </xdr:to>
    <xdr:graphicFrame>
      <xdr:nvGraphicFramePr>
        <xdr:cNvPr id="134" name="44 Gráfico"/>
        <xdr:cNvGraphicFramePr/>
      </xdr:nvGraphicFramePr>
      <xdr:xfrm>
        <a:off x="12753720" y="53587440"/>
        <a:ext cx="2666520" cy="160956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editAs="oneCell">
    <xdr:from>
      <xdr:col>19</xdr:col>
      <xdr:colOff>209520</xdr:colOff>
      <xdr:row>305</xdr:row>
      <xdr:rowOff>95400</xdr:rowOff>
    </xdr:from>
    <xdr:to>
      <xdr:col>22</xdr:col>
      <xdr:colOff>504360</xdr:colOff>
      <xdr:row>316</xdr:row>
      <xdr:rowOff>28440</xdr:rowOff>
    </xdr:to>
    <xdr:graphicFrame>
      <xdr:nvGraphicFramePr>
        <xdr:cNvPr id="135" name="45 Gráfico"/>
        <xdr:cNvGraphicFramePr/>
      </xdr:nvGraphicFramePr>
      <xdr:xfrm>
        <a:off x="15687360" y="53578080"/>
        <a:ext cx="2666520" cy="160956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editAs="oneCell">
    <xdr:from>
      <xdr:col>8</xdr:col>
      <xdr:colOff>409680</xdr:colOff>
      <xdr:row>319</xdr:row>
      <xdr:rowOff>95400</xdr:rowOff>
    </xdr:from>
    <xdr:to>
      <xdr:col>14</xdr:col>
      <xdr:colOff>85320</xdr:colOff>
      <xdr:row>334</xdr:row>
      <xdr:rowOff>95040</xdr:rowOff>
    </xdr:to>
    <xdr:graphicFrame>
      <xdr:nvGraphicFramePr>
        <xdr:cNvPr id="136" name="41 Gráfico"/>
        <xdr:cNvGraphicFramePr/>
      </xdr:nvGraphicFramePr>
      <xdr:xfrm>
        <a:off x="7191360" y="55711800"/>
        <a:ext cx="4419000" cy="228564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editAs="oneCell">
    <xdr:from>
      <xdr:col>8</xdr:col>
      <xdr:colOff>428760</xdr:colOff>
      <xdr:row>336</xdr:row>
      <xdr:rowOff>57240</xdr:rowOff>
    </xdr:from>
    <xdr:to>
      <xdr:col>14</xdr:col>
      <xdr:colOff>104400</xdr:colOff>
      <xdr:row>351</xdr:row>
      <xdr:rowOff>56880</xdr:rowOff>
    </xdr:to>
    <xdr:graphicFrame>
      <xdr:nvGraphicFramePr>
        <xdr:cNvPr id="137" name="42 Gráfico"/>
        <xdr:cNvGraphicFramePr/>
      </xdr:nvGraphicFramePr>
      <xdr:xfrm>
        <a:off x="7210440" y="58264200"/>
        <a:ext cx="4419000" cy="228564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editAs="oneCell">
    <xdr:from>
      <xdr:col>15</xdr:col>
      <xdr:colOff>466560</xdr:colOff>
      <xdr:row>320</xdr:row>
      <xdr:rowOff>133200</xdr:rowOff>
    </xdr:from>
    <xdr:to>
      <xdr:col>18</xdr:col>
      <xdr:colOff>790200</xdr:colOff>
      <xdr:row>331</xdr:row>
      <xdr:rowOff>66240</xdr:rowOff>
    </xdr:to>
    <xdr:graphicFrame>
      <xdr:nvGraphicFramePr>
        <xdr:cNvPr id="138" name="44 Gráfico"/>
        <xdr:cNvGraphicFramePr/>
      </xdr:nvGraphicFramePr>
      <xdr:xfrm>
        <a:off x="12782160" y="55901880"/>
        <a:ext cx="2695320" cy="160956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editAs="oneCell">
    <xdr:from>
      <xdr:col>19</xdr:col>
      <xdr:colOff>285840</xdr:colOff>
      <xdr:row>320</xdr:row>
      <xdr:rowOff>123840</xdr:rowOff>
    </xdr:from>
    <xdr:to>
      <xdr:col>22</xdr:col>
      <xdr:colOff>580680</xdr:colOff>
      <xdr:row>331</xdr:row>
      <xdr:rowOff>56880</xdr:rowOff>
    </xdr:to>
    <xdr:graphicFrame>
      <xdr:nvGraphicFramePr>
        <xdr:cNvPr id="139" name="45 Gráfico"/>
        <xdr:cNvGraphicFramePr/>
      </xdr:nvGraphicFramePr>
      <xdr:xfrm>
        <a:off x="15763680" y="55892520"/>
        <a:ext cx="2666520" cy="160956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editAs="oneCell">
    <xdr:from>
      <xdr:col>15</xdr:col>
      <xdr:colOff>609480</xdr:colOff>
      <xdr:row>337</xdr:row>
      <xdr:rowOff>104760</xdr:rowOff>
    </xdr:from>
    <xdr:to>
      <xdr:col>19</xdr:col>
      <xdr:colOff>142560</xdr:colOff>
      <xdr:row>348</xdr:row>
      <xdr:rowOff>37800</xdr:rowOff>
    </xdr:to>
    <xdr:graphicFrame>
      <xdr:nvGraphicFramePr>
        <xdr:cNvPr id="140" name="44 Gráfico"/>
        <xdr:cNvGraphicFramePr/>
      </xdr:nvGraphicFramePr>
      <xdr:xfrm>
        <a:off x="12925080" y="58464360"/>
        <a:ext cx="2695320" cy="160920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editAs="oneCell">
    <xdr:from>
      <xdr:col>19</xdr:col>
      <xdr:colOff>361800</xdr:colOff>
      <xdr:row>337</xdr:row>
      <xdr:rowOff>104760</xdr:rowOff>
    </xdr:from>
    <xdr:to>
      <xdr:col>22</xdr:col>
      <xdr:colOff>656640</xdr:colOff>
      <xdr:row>348</xdr:row>
      <xdr:rowOff>37800</xdr:rowOff>
    </xdr:to>
    <xdr:graphicFrame>
      <xdr:nvGraphicFramePr>
        <xdr:cNvPr id="141" name="45 Gráfico"/>
        <xdr:cNvGraphicFramePr/>
      </xdr:nvGraphicFramePr>
      <xdr:xfrm>
        <a:off x="15839640" y="58464360"/>
        <a:ext cx="2666520" cy="160920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editAs="oneCell">
    <xdr:from>
      <xdr:col>8</xdr:col>
      <xdr:colOff>609480</xdr:colOff>
      <xdr:row>189</xdr:row>
      <xdr:rowOff>57240</xdr:rowOff>
    </xdr:from>
    <xdr:to>
      <xdr:col>14</xdr:col>
      <xdr:colOff>285120</xdr:colOff>
      <xdr:row>197</xdr:row>
      <xdr:rowOff>75960</xdr:rowOff>
    </xdr:to>
    <xdr:graphicFrame>
      <xdr:nvGraphicFramePr>
        <xdr:cNvPr id="142" name="47 Gráfico"/>
        <xdr:cNvGraphicFramePr/>
      </xdr:nvGraphicFramePr>
      <xdr:xfrm>
        <a:off x="7391160" y="31813560"/>
        <a:ext cx="4419000" cy="230472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editAs="oneCell">
    <xdr:from>
      <xdr:col>8</xdr:col>
      <xdr:colOff>552600</xdr:colOff>
      <xdr:row>200</xdr:row>
      <xdr:rowOff>133200</xdr:rowOff>
    </xdr:from>
    <xdr:to>
      <xdr:col>14</xdr:col>
      <xdr:colOff>228240</xdr:colOff>
      <xdr:row>209</xdr:row>
      <xdr:rowOff>151920</xdr:rowOff>
    </xdr:to>
    <xdr:graphicFrame>
      <xdr:nvGraphicFramePr>
        <xdr:cNvPr id="143" name="26 Gráfico"/>
        <xdr:cNvGraphicFramePr/>
      </xdr:nvGraphicFramePr>
      <xdr:xfrm>
        <a:off x="7334280" y="34661160"/>
        <a:ext cx="4419000" cy="228564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editAs="oneCell">
    <xdr:from>
      <xdr:col>15</xdr:col>
      <xdr:colOff>171360</xdr:colOff>
      <xdr:row>190</xdr:row>
      <xdr:rowOff>152280</xdr:rowOff>
    </xdr:from>
    <xdr:to>
      <xdr:col>18</xdr:col>
      <xdr:colOff>466200</xdr:colOff>
      <xdr:row>195</xdr:row>
      <xdr:rowOff>304200</xdr:rowOff>
    </xdr:to>
    <xdr:graphicFrame>
      <xdr:nvGraphicFramePr>
        <xdr:cNvPr id="144" name="33 Gráfico"/>
        <xdr:cNvGraphicFramePr/>
      </xdr:nvGraphicFramePr>
      <xdr:xfrm>
        <a:off x="12486960" y="32070240"/>
        <a:ext cx="2666520" cy="162828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editAs="oneCell">
    <xdr:from>
      <xdr:col>19</xdr:col>
      <xdr:colOff>19080</xdr:colOff>
      <xdr:row>190</xdr:row>
      <xdr:rowOff>133200</xdr:rowOff>
    </xdr:from>
    <xdr:to>
      <xdr:col>22</xdr:col>
      <xdr:colOff>313920</xdr:colOff>
      <xdr:row>195</xdr:row>
      <xdr:rowOff>285120</xdr:rowOff>
    </xdr:to>
    <xdr:graphicFrame>
      <xdr:nvGraphicFramePr>
        <xdr:cNvPr id="145" name="34 Gráfico"/>
        <xdr:cNvGraphicFramePr/>
      </xdr:nvGraphicFramePr>
      <xdr:xfrm>
        <a:off x="15496920" y="32051160"/>
        <a:ext cx="2666520" cy="162828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editAs="oneCell">
    <xdr:from>
      <xdr:col>15</xdr:col>
      <xdr:colOff>295200</xdr:colOff>
      <xdr:row>202</xdr:row>
      <xdr:rowOff>142920</xdr:rowOff>
    </xdr:from>
    <xdr:to>
      <xdr:col>18</xdr:col>
      <xdr:colOff>590040</xdr:colOff>
      <xdr:row>208</xdr:row>
      <xdr:rowOff>133200</xdr:rowOff>
    </xdr:to>
    <xdr:graphicFrame>
      <xdr:nvGraphicFramePr>
        <xdr:cNvPr id="146" name="33 Gráfico"/>
        <xdr:cNvGraphicFramePr/>
      </xdr:nvGraphicFramePr>
      <xdr:xfrm>
        <a:off x="12610800" y="34994880"/>
        <a:ext cx="2666520" cy="160920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editAs="oneCell">
    <xdr:from>
      <xdr:col>19</xdr:col>
      <xdr:colOff>47520</xdr:colOff>
      <xdr:row>202</xdr:row>
      <xdr:rowOff>142920</xdr:rowOff>
    </xdr:from>
    <xdr:to>
      <xdr:col>22</xdr:col>
      <xdr:colOff>342360</xdr:colOff>
      <xdr:row>208</xdr:row>
      <xdr:rowOff>133200</xdr:rowOff>
    </xdr:to>
    <xdr:graphicFrame>
      <xdr:nvGraphicFramePr>
        <xdr:cNvPr id="147" name="34 Gráfico"/>
        <xdr:cNvGraphicFramePr/>
      </xdr:nvGraphicFramePr>
      <xdr:xfrm>
        <a:off x="15525360" y="34994880"/>
        <a:ext cx="2666520" cy="160920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editAs="oneCell">
    <xdr:from>
      <xdr:col>8</xdr:col>
      <xdr:colOff>285840</xdr:colOff>
      <xdr:row>110</xdr:row>
      <xdr:rowOff>133200</xdr:rowOff>
    </xdr:from>
    <xdr:to>
      <xdr:col>14</xdr:col>
      <xdr:colOff>152280</xdr:colOff>
      <xdr:row>126</xdr:row>
      <xdr:rowOff>56520</xdr:rowOff>
    </xdr:to>
    <xdr:graphicFrame>
      <xdr:nvGraphicFramePr>
        <xdr:cNvPr id="148" name="10 Gráfico"/>
        <xdr:cNvGraphicFramePr/>
      </xdr:nvGraphicFramePr>
      <xdr:xfrm>
        <a:off x="7067520" y="19764000"/>
        <a:ext cx="4609800" cy="236160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editAs="oneCell">
    <xdr:from>
      <xdr:col>8</xdr:col>
      <xdr:colOff>276120</xdr:colOff>
      <xdr:row>131</xdr:row>
      <xdr:rowOff>95400</xdr:rowOff>
    </xdr:from>
    <xdr:to>
      <xdr:col>13</xdr:col>
      <xdr:colOff>713880</xdr:colOff>
      <xdr:row>147</xdr:row>
      <xdr:rowOff>9360</xdr:rowOff>
    </xdr:to>
    <xdr:graphicFrame>
      <xdr:nvGraphicFramePr>
        <xdr:cNvPr id="149" name="21 Gráfico"/>
        <xdr:cNvGraphicFramePr/>
      </xdr:nvGraphicFramePr>
      <xdr:xfrm>
        <a:off x="7057800" y="22926600"/>
        <a:ext cx="4390560" cy="235224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editAs="oneCell">
    <xdr:from>
      <xdr:col>15</xdr:col>
      <xdr:colOff>0</xdr:colOff>
      <xdr:row>113</xdr:row>
      <xdr:rowOff>0</xdr:rowOff>
    </xdr:from>
    <xdr:to>
      <xdr:col>18</xdr:col>
      <xdr:colOff>294840</xdr:colOff>
      <xdr:row>123</xdr:row>
      <xdr:rowOff>132840</xdr:rowOff>
    </xdr:to>
    <xdr:graphicFrame>
      <xdr:nvGraphicFramePr>
        <xdr:cNvPr id="150" name="23 Gráfico"/>
        <xdr:cNvGraphicFramePr/>
      </xdr:nvGraphicFramePr>
      <xdr:xfrm>
        <a:off x="12315600" y="20088000"/>
        <a:ext cx="2666520" cy="165672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editAs="oneCell">
    <xdr:from>
      <xdr:col>18</xdr:col>
      <xdr:colOff>561960</xdr:colOff>
      <xdr:row>112</xdr:row>
      <xdr:rowOff>123840</xdr:rowOff>
    </xdr:from>
    <xdr:to>
      <xdr:col>22</xdr:col>
      <xdr:colOff>95040</xdr:colOff>
      <xdr:row>123</xdr:row>
      <xdr:rowOff>114120</xdr:rowOff>
    </xdr:to>
    <xdr:graphicFrame>
      <xdr:nvGraphicFramePr>
        <xdr:cNvPr id="151" name="24 Gráfico"/>
        <xdr:cNvGraphicFramePr/>
      </xdr:nvGraphicFramePr>
      <xdr:xfrm>
        <a:off x="15249240" y="20059560"/>
        <a:ext cx="2695320" cy="166644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editAs="oneCell">
    <xdr:from>
      <xdr:col>15</xdr:col>
      <xdr:colOff>0</xdr:colOff>
      <xdr:row>135</xdr:row>
      <xdr:rowOff>0</xdr:rowOff>
    </xdr:from>
    <xdr:to>
      <xdr:col>18</xdr:col>
      <xdr:colOff>294840</xdr:colOff>
      <xdr:row>145</xdr:row>
      <xdr:rowOff>132840</xdr:rowOff>
    </xdr:to>
    <xdr:graphicFrame>
      <xdr:nvGraphicFramePr>
        <xdr:cNvPr id="152" name="23 Gráfico"/>
        <xdr:cNvGraphicFramePr/>
      </xdr:nvGraphicFramePr>
      <xdr:xfrm>
        <a:off x="12315600" y="23440680"/>
        <a:ext cx="2666520" cy="165708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editAs="oneCell">
    <xdr:from>
      <xdr:col>18</xdr:col>
      <xdr:colOff>666720</xdr:colOff>
      <xdr:row>134</xdr:row>
      <xdr:rowOff>123840</xdr:rowOff>
    </xdr:from>
    <xdr:to>
      <xdr:col>22</xdr:col>
      <xdr:colOff>199800</xdr:colOff>
      <xdr:row>145</xdr:row>
      <xdr:rowOff>114120</xdr:rowOff>
    </xdr:to>
    <xdr:graphicFrame>
      <xdr:nvGraphicFramePr>
        <xdr:cNvPr id="153" name="24 Gráfico"/>
        <xdr:cNvGraphicFramePr/>
      </xdr:nvGraphicFramePr>
      <xdr:xfrm>
        <a:off x="15354000" y="23412240"/>
        <a:ext cx="2695320" cy="166680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editAs="oneCell">
    <xdr:from>
      <xdr:col>8</xdr:col>
      <xdr:colOff>507960</xdr:colOff>
      <xdr:row>274</xdr:row>
      <xdr:rowOff>137520</xdr:rowOff>
    </xdr:from>
    <xdr:to>
      <xdr:col>14</xdr:col>
      <xdr:colOff>183600</xdr:colOff>
      <xdr:row>285</xdr:row>
      <xdr:rowOff>74880</xdr:rowOff>
    </xdr:to>
    <xdr:graphicFrame>
      <xdr:nvGraphicFramePr>
        <xdr:cNvPr id="154" name="28 Gráfico"/>
        <xdr:cNvGraphicFramePr/>
      </xdr:nvGraphicFramePr>
      <xdr:xfrm>
        <a:off x="7289640" y="48248280"/>
        <a:ext cx="4419000" cy="226116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editAs="oneCell">
    <xdr:from>
      <xdr:col>8</xdr:col>
      <xdr:colOff>507960</xdr:colOff>
      <xdr:row>260</xdr:row>
      <xdr:rowOff>137520</xdr:rowOff>
    </xdr:from>
    <xdr:to>
      <xdr:col>14</xdr:col>
      <xdr:colOff>183600</xdr:colOff>
      <xdr:row>271</xdr:row>
      <xdr:rowOff>74880</xdr:rowOff>
    </xdr:to>
    <xdr:graphicFrame>
      <xdr:nvGraphicFramePr>
        <xdr:cNvPr id="155" name="28 Gráfico"/>
        <xdr:cNvGraphicFramePr/>
      </xdr:nvGraphicFramePr>
      <xdr:xfrm>
        <a:off x="7289640" y="45486000"/>
        <a:ext cx="4419000" cy="224244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2714760</xdr:colOff>
      <xdr:row>3</xdr:row>
      <xdr:rowOff>95400</xdr:rowOff>
    </xdr:from>
    <xdr:to>
      <xdr:col>4</xdr:col>
      <xdr:colOff>47520</xdr:colOff>
      <xdr:row>35</xdr:row>
      <xdr:rowOff>157680</xdr:rowOff>
    </xdr:to>
    <xdr:graphicFrame>
      <xdr:nvGraphicFramePr>
        <xdr:cNvPr id="156" name="1 Gráfico"/>
        <xdr:cNvGraphicFramePr/>
      </xdr:nvGraphicFramePr>
      <xdr:xfrm>
        <a:off x="2714760" y="609480"/>
        <a:ext cx="8191080" cy="52441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543240</xdr:colOff>
      <xdr:row>1</xdr:row>
      <xdr:rowOff>19440</xdr:rowOff>
    </xdr:from>
    <xdr:to>
      <xdr:col>15</xdr:col>
      <xdr:colOff>180720</xdr:colOff>
      <xdr:row>44</xdr:row>
      <xdr:rowOff>6840</xdr:rowOff>
    </xdr:to>
    <xdr:graphicFrame>
      <xdr:nvGraphicFramePr>
        <xdr:cNvPr id="157" name="1 Gráfico"/>
        <xdr:cNvGraphicFramePr/>
      </xdr:nvGraphicFramePr>
      <xdr:xfrm>
        <a:off x="2028960" y="181080"/>
        <a:ext cx="9295920" cy="695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304920</xdr:colOff>
      <xdr:row>32</xdr:row>
      <xdr:rowOff>76320</xdr:rowOff>
    </xdr:from>
    <xdr:to>
      <xdr:col>12</xdr:col>
      <xdr:colOff>437760</xdr:colOff>
      <xdr:row>48</xdr:row>
      <xdr:rowOff>161640</xdr:rowOff>
    </xdr:to>
    <xdr:graphicFrame>
      <xdr:nvGraphicFramePr>
        <xdr:cNvPr id="158" name="10 Gráfico"/>
        <xdr:cNvGraphicFramePr/>
      </xdr:nvGraphicFramePr>
      <xdr:xfrm>
        <a:off x="6200640" y="6086520"/>
        <a:ext cx="4590720" cy="3085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0</xdr:colOff>
      <xdr:row>51</xdr:row>
      <xdr:rowOff>0</xdr:rowOff>
    </xdr:from>
    <xdr:to>
      <xdr:col>12</xdr:col>
      <xdr:colOff>132840</xdr:colOff>
      <xdr:row>70</xdr:row>
      <xdr:rowOff>9000</xdr:rowOff>
    </xdr:to>
    <xdr:graphicFrame>
      <xdr:nvGraphicFramePr>
        <xdr:cNvPr id="159" name="10 Gráfico"/>
        <xdr:cNvGraphicFramePr/>
      </xdr:nvGraphicFramePr>
      <xdr:xfrm>
        <a:off x="5895720" y="9496080"/>
        <a:ext cx="4590720" cy="30859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581040</xdr:colOff>
      <xdr:row>4</xdr:row>
      <xdr:rowOff>28440</xdr:rowOff>
    </xdr:from>
    <xdr:to>
      <xdr:col>6</xdr:col>
      <xdr:colOff>676080</xdr:colOff>
      <xdr:row>21</xdr:row>
      <xdr:rowOff>94680</xdr:rowOff>
    </xdr:to>
    <xdr:graphicFrame>
      <xdr:nvGraphicFramePr>
        <xdr:cNvPr id="160" name="5 Gráfico"/>
        <xdr:cNvGraphicFramePr/>
      </xdr:nvGraphicFramePr>
      <xdr:xfrm>
        <a:off x="581040" y="676080"/>
        <a:ext cx="4552560" cy="2818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76320</xdr:colOff>
      <xdr:row>4</xdr:row>
      <xdr:rowOff>142920</xdr:rowOff>
    </xdr:from>
    <xdr:to>
      <xdr:col>15</xdr:col>
      <xdr:colOff>218880</xdr:colOff>
      <xdr:row>21</xdr:row>
      <xdr:rowOff>151920</xdr:rowOff>
    </xdr:to>
    <xdr:graphicFrame>
      <xdr:nvGraphicFramePr>
        <xdr:cNvPr id="161" name="1 Gráfico"/>
        <xdr:cNvGraphicFramePr/>
      </xdr:nvGraphicFramePr>
      <xdr:xfrm>
        <a:off x="6762600" y="790560"/>
        <a:ext cx="4600440" cy="276156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533520</xdr:colOff>
      <xdr:row>24</xdr:row>
      <xdr:rowOff>19080</xdr:rowOff>
    </xdr:from>
    <xdr:to>
      <xdr:col>12</xdr:col>
      <xdr:colOff>66600</xdr:colOff>
      <xdr:row>33</xdr:row>
      <xdr:rowOff>149760</xdr:rowOff>
    </xdr:to>
    <xdr:graphicFrame>
      <xdr:nvGraphicFramePr>
        <xdr:cNvPr id="162" name="13 Gráfico"/>
        <xdr:cNvGraphicFramePr/>
      </xdr:nvGraphicFramePr>
      <xdr:xfrm>
        <a:off x="6477120" y="3905280"/>
        <a:ext cx="2504880" cy="158796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12</xdr:col>
      <xdr:colOff>466560</xdr:colOff>
      <xdr:row>24</xdr:row>
      <xdr:rowOff>0</xdr:rowOff>
    </xdr:from>
    <xdr:to>
      <xdr:col>16</xdr:col>
      <xdr:colOff>17280</xdr:colOff>
      <xdr:row>33</xdr:row>
      <xdr:rowOff>130680</xdr:rowOff>
    </xdr:to>
    <xdr:graphicFrame>
      <xdr:nvGraphicFramePr>
        <xdr:cNvPr id="163" name="14 Gráfico"/>
        <xdr:cNvGraphicFramePr/>
      </xdr:nvGraphicFramePr>
      <xdr:xfrm>
        <a:off x="9381960" y="3886200"/>
        <a:ext cx="2522520" cy="15879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38160</xdr:colOff>
      <xdr:row>24</xdr:row>
      <xdr:rowOff>0</xdr:rowOff>
    </xdr:from>
    <xdr:to>
      <xdr:col>3</xdr:col>
      <xdr:colOff>542520</xdr:colOff>
      <xdr:row>34</xdr:row>
      <xdr:rowOff>130680</xdr:rowOff>
    </xdr:to>
    <xdr:graphicFrame>
      <xdr:nvGraphicFramePr>
        <xdr:cNvPr id="164" name="17 Gráfico"/>
        <xdr:cNvGraphicFramePr/>
      </xdr:nvGraphicFramePr>
      <xdr:xfrm>
        <a:off x="38160" y="3886200"/>
        <a:ext cx="2733120" cy="17496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4</xdr:col>
      <xdr:colOff>457200</xdr:colOff>
      <xdr:row>24</xdr:row>
      <xdr:rowOff>0</xdr:rowOff>
    </xdr:from>
    <xdr:to>
      <xdr:col>8</xdr:col>
      <xdr:colOff>199800</xdr:colOff>
      <xdr:row>34</xdr:row>
      <xdr:rowOff>130680</xdr:rowOff>
    </xdr:to>
    <xdr:graphicFrame>
      <xdr:nvGraphicFramePr>
        <xdr:cNvPr id="165" name="18 Gráfico"/>
        <xdr:cNvGraphicFramePr/>
      </xdr:nvGraphicFramePr>
      <xdr:xfrm>
        <a:off x="3429000" y="3886200"/>
        <a:ext cx="2714400" cy="174960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18</xdr:col>
      <xdr:colOff>495360</xdr:colOff>
      <xdr:row>5</xdr:row>
      <xdr:rowOff>0</xdr:rowOff>
    </xdr:from>
    <xdr:to>
      <xdr:col>24</xdr:col>
      <xdr:colOff>437760</xdr:colOff>
      <xdr:row>21</xdr:row>
      <xdr:rowOff>37800</xdr:rowOff>
    </xdr:to>
    <xdr:graphicFrame>
      <xdr:nvGraphicFramePr>
        <xdr:cNvPr id="166" name="32 Gráfico"/>
        <xdr:cNvGraphicFramePr/>
      </xdr:nvGraphicFramePr>
      <xdr:xfrm>
        <a:off x="13868280" y="809280"/>
        <a:ext cx="4400280" cy="262872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18</xdr:col>
      <xdr:colOff>523800</xdr:colOff>
      <xdr:row>24</xdr:row>
      <xdr:rowOff>9360</xdr:rowOff>
    </xdr:from>
    <xdr:to>
      <xdr:col>22</xdr:col>
      <xdr:colOff>113760</xdr:colOff>
      <xdr:row>33</xdr:row>
      <xdr:rowOff>37440</xdr:rowOff>
    </xdr:to>
    <xdr:graphicFrame>
      <xdr:nvGraphicFramePr>
        <xdr:cNvPr id="167" name="58 Gráfico"/>
        <xdr:cNvGraphicFramePr/>
      </xdr:nvGraphicFramePr>
      <xdr:xfrm>
        <a:off x="13896720" y="3895560"/>
        <a:ext cx="2561760" cy="148536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22</xdr:col>
      <xdr:colOff>647640</xdr:colOff>
      <xdr:row>24</xdr:row>
      <xdr:rowOff>0</xdr:rowOff>
    </xdr:from>
    <xdr:to>
      <xdr:col>26</xdr:col>
      <xdr:colOff>180720</xdr:colOff>
      <xdr:row>33</xdr:row>
      <xdr:rowOff>18000</xdr:rowOff>
    </xdr:to>
    <xdr:graphicFrame>
      <xdr:nvGraphicFramePr>
        <xdr:cNvPr id="168" name="59 Gráfico"/>
        <xdr:cNvGraphicFramePr/>
      </xdr:nvGraphicFramePr>
      <xdr:xfrm>
        <a:off x="16992360" y="3886200"/>
        <a:ext cx="2504880" cy="147528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29</xdr:col>
      <xdr:colOff>19440</xdr:colOff>
      <xdr:row>5</xdr:row>
      <xdr:rowOff>9360</xdr:rowOff>
    </xdr:from>
    <xdr:to>
      <xdr:col>35</xdr:col>
      <xdr:colOff>9360</xdr:colOff>
      <xdr:row>20</xdr:row>
      <xdr:rowOff>55440</xdr:rowOff>
    </xdr:to>
    <xdr:graphicFrame>
      <xdr:nvGraphicFramePr>
        <xdr:cNvPr id="169" name="34 Gráfico"/>
        <xdr:cNvGraphicFramePr/>
      </xdr:nvGraphicFramePr>
      <xdr:xfrm>
        <a:off x="21564720" y="818640"/>
        <a:ext cx="4447800" cy="247500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29</xdr:col>
      <xdr:colOff>0</xdr:colOff>
      <xdr:row>22</xdr:row>
      <xdr:rowOff>0</xdr:rowOff>
    </xdr:from>
    <xdr:to>
      <xdr:col>32</xdr:col>
      <xdr:colOff>294840</xdr:colOff>
      <xdr:row>32</xdr:row>
      <xdr:rowOff>13320</xdr:rowOff>
    </xdr:to>
    <xdr:graphicFrame>
      <xdr:nvGraphicFramePr>
        <xdr:cNvPr id="170" name="62 Gráfico"/>
        <xdr:cNvGraphicFramePr/>
      </xdr:nvGraphicFramePr>
      <xdr:xfrm>
        <a:off x="21545280" y="3562200"/>
        <a:ext cx="2523960" cy="163260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33</xdr:col>
      <xdr:colOff>9360</xdr:colOff>
      <xdr:row>22</xdr:row>
      <xdr:rowOff>0</xdr:rowOff>
    </xdr:from>
    <xdr:to>
      <xdr:col>36</xdr:col>
      <xdr:colOff>304200</xdr:colOff>
      <xdr:row>32</xdr:row>
      <xdr:rowOff>13320</xdr:rowOff>
    </xdr:to>
    <xdr:graphicFrame>
      <xdr:nvGraphicFramePr>
        <xdr:cNvPr id="171" name="63 Gráfico"/>
        <xdr:cNvGraphicFramePr/>
      </xdr:nvGraphicFramePr>
      <xdr:xfrm>
        <a:off x="24526440" y="3562200"/>
        <a:ext cx="2523960" cy="163260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39</xdr:col>
      <xdr:colOff>447840</xdr:colOff>
      <xdr:row>5</xdr:row>
      <xdr:rowOff>360</xdr:rowOff>
    </xdr:from>
    <xdr:to>
      <xdr:col>45</xdr:col>
      <xdr:colOff>637920</xdr:colOff>
      <xdr:row>21</xdr:row>
      <xdr:rowOff>9360</xdr:rowOff>
    </xdr:to>
    <xdr:graphicFrame>
      <xdr:nvGraphicFramePr>
        <xdr:cNvPr id="172" name="27 Gráfico"/>
        <xdr:cNvGraphicFramePr/>
      </xdr:nvGraphicFramePr>
      <xdr:xfrm>
        <a:off x="29422800" y="809640"/>
        <a:ext cx="4647600" cy="259992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39</xdr:col>
      <xdr:colOff>47520</xdr:colOff>
      <xdr:row>23</xdr:row>
      <xdr:rowOff>0</xdr:rowOff>
    </xdr:from>
    <xdr:to>
      <xdr:col>42</xdr:col>
      <xdr:colOff>342360</xdr:colOff>
      <xdr:row>32</xdr:row>
      <xdr:rowOff>109800</xdr:rowOff>
    </xdr:to>
    <xdr:graphicFrame>
      <xdr:nvGraphicFramePr>
        <xdr:cNvPr id="173" name="17 Gráfico"/>
        <xdr:cNvGraphicFramePr/>
      </xdr:nvGraphicFramePr>
      <xdr:xfrm>
        <a:off x="29022480" y="3724200"/>
        <a:ext cx="2523600" cy="156708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43</xdr:col>
      <xdr:colOff>123840</xdr:colOff>
      <xdr:row>22</xdr:row>
      <xdr:rowOff>152280</xdr:rowOff>
    </xdr:from>
    <xdr:to>
      <xdr:col>46</xdr:col>
      <xdr:colOff>418680</xdr:colOff>
      <xdr:row>32</xdr:row>
      <xdr:rowOff>100080</xdr:rowOff>
    </xdr:to>
    <xdr:graphicFrame>
      <xdr:nvGraphicFramePr>
        <xdr:cNvPr id="174" name="18 Gráfico"/>
        <xdr:cNvGraphicFramePr/>
      </xdr:nvGraphicFramePr>
      <xdr:xfrm>
        <a:off x="32070600" y="3714480"/>
        <a:ext cx="2523600" cy="156708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48</xdr:col>
      <xdr:colOff>451440</xdr:colOff>
      <xdr:row>4</xdr:row>
      <xdr:rowOff>111960</xdr:rowOff>
    </xdr:from>
    <xdr:to>
      <xdr:col>55</xdr:col>
      <xdr:colOff>127080</xdr:colOff>
      <xdr:row>21</xdr:row>
      <xdr:rowOff>66600</xdr:rowOff>
    </xdr:to>
    <xdr:graphicFrame>
      <xdr:nvGraphicFramePr>
        <xdr:cNvPr id="175" name="22 Gráfico"/>
        <xdr:cNvGraphicFramePr/>
      </xdr:nvGraphicFramePr>
      <xdr:xfrm>
        <a:off x="36113040" y="759600"/>
        <a:ext cx="4876200" cy="270720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48</xdr:col>
      <xdr:colOff>447840</xdr:colOff>
      <xdr:row>25</xdr:row>
      <xdr:rowOff>38160</xdr:rowOff>
    </xdr:from>
    <xdr:to>
      <xdr:col>52</xdr:col>
      <xdr:colOff>514080</xdr:colOff>
      <xdr:row>35</xdr:row>
      <xdr:rowOff>133200</xdr:rowOff>
    </xdr:to>
    <xdr:graphicFrame>
      <xdr:nvGraphicFramePr>
        <xdr:cNvPr id="176" name="23 Gráfico"/>
        <xdr:cNvGraphicFramePr/>
      </xdr:nvGraphicFramePr>
      <xdr:xfrm>
        <a:off x="36109440" y="4086000"/>
        <a:ext cx="3038040" cy="171432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53</xdr:col>
      <xdr:colOff>360</xdr:colOff>
      <xdr:row>25</xdr:row>
      <xdr:rowOff>38160</xdr:rowOff>
    </xdr:from>
    <xdr:to>
      <xdr:col>57</xdr:col>
      <xdr:colOff>133200</xdr:colOff>
      <xdr:row>35</xdr:row>
      <xdr:rowOff>123480</xdr:rowOff>
    </xdr:to>
    <xdr:graphicFrame>
      <xdr:nvGraphicFramePr>
        <xdr:cNvPr id="177" name="24 Gráfico"/>
        <xdr:cNvGraphicFramePr/>
      </xdr:nvGraphicFramePr>
      <xdr:xfrm>
        <a:off x="39376440" y="4086000"/>
        <a:ext cx="3104640" cy="170460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3</xdr:row>
      <xdr:rowOff>0</xdr:rowOff>
    </xdr:from>
    <xdr:to>
      <xdr:col>18</xdr:col>
      <xdr:colOff>28080</xdr:colOff>
      <xdr:row>3</xdr:row>
      <xdr:rowOff>-13015080</xdr:rowOff>
    </xdr:to>
    <xdr:pic>
      <xdr:nvPicPr>
        <xdr:cNvPr id="178" name="Image 1" descr=""/>
        <xdr:cNvPicPr/>
      </xdr:nvPicPr>
      <xdr:blipFill>
        <a:blip r:embed="rId1"/>
        <a:srcRect l="8672" t="25433" r="0" b="17823"/>
        <a:stretch/>
      </xdr:blipFill>
      <xdr:spPr>
        <a:xfrm>
          <a:off x="0" y="1218960"/>
          <a:ext cx="16715880" cy="360000"/>
        </a:xfrm>
        <a:prstGeom prst="rect">
          <a:avLst/>
        </a:prstGeom>
        <a:ln w="9360">
          <a:noFill/>
        </a:ln>
      </xdr:spPr>
    </xdr:pic>
    <xdr:clientData/>
  </xdr:twoCellAnchor>
  <xdr:twoCellAnchor editAs="oneCell">
    <xdr:from>
      <xdr:col>15</xdr:col>
      <xdr:colOff>411840</xdr:colOff>
      <xdr:row>6</xdr:row>
      <xdr:rowOff>53280</xdr:rowOff>
    </xdr:from>
    <xdr:to>
      <xdr:col>15</xdr:col>
      <xdr:colOff>746280</xdr:colOff>
      <xdr:row>7</xdr:row>
      <xdr:rowOff>115560</xdr:rowOff>
    </xdr:to>
    <xdr:sp>
      <xdr:nvSpPr>
        <xdr:cNvPr id="179" name="CustomShape 1"/>
        <xdr:cNvSpPr/>
      </xdr:nvSpPr>
      <xdr:spPr>
        <a:xfrm>
          <a:off x="14556240" y="1817640"/>
          <a:ext cx="334440" cy="300600"/>
        </a:xfrm>
        <a:prstGeom prst="ellipse">
          <a:avLst/>
        </a:prstGeom>
        <a:solidFill>
          <a:schemeClr val="bg1"/>
        </a:solidFill>
        <a:ln>
          <a:solidFill>
            <a:schemeClr val="accent6">
              <a:lumMod val="75000"/>
            </a:schemeClr>
          </a:solidFill>
          <a:round/>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p>
          <a:pPr algn="ctr">
            <a:lnSpc>
              <a:spcPct val="100000"/>
            </a:lnSpc>
          </a:pPr>
          <a:r>
            <a:rPr b="1" lang="es-ES" sz="1600" spc="-1" strike="noStrike">
              <a:solidFill>
                <a:srgbClr val="e46c0a"/>
              </a:solidFill>
              <a:uFill>
                <a:solidFill>
                  <a:srgbClr val="ffffff"/>
                </a:solidFill>
              </a:uFill>
              <a:latin typeface="Calibri"/>
            </a:rPr>
            <a:t>?</a:t>
          </a:r>
          <a:endParaRPr b="0" lang="es-E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0</xdr:colOff>
      <xdr:row>3</xdr:row>
      <xdr:rowOff>0</xdr:rowOff>
    </xdr:from>
    <xdr:to>
      <xdr:col>18</xdr:col>
      <xdr:colOff>28080</xdr:colOff>
      <xdr:row>3</xdr:row>
      <xdr:rowOff>-13015080</xdr:rowOff>
    </xdr:to>
    <xdr:pic>
      <xdr:nvPicPr>
        <xdr:cNvPr id="180" name="Image 1" descr=""/>
        <xdr:cNvPicPr/>
      </xdr:nvPicPr>
      <xdr:blipFill>
        <a:blip r:embed="rId2"/>
        <a:srcRect l="8672" t="25433" r="0" b="17823"/>
        <a:stretch/>
      </xdr:blipFill>
      <xdr:spPr>
        <a:xfrm>
          <a:off x="0" y="1218960"/>
          <a:ext cx="16715880" cy="360000"/>
        </a:xfrm>
        <a:prstGeom prst="rect">
          <a:avLst/>
        </a:prstGeom>
        <a:ln w="9360">
          <a:noFill/>
        </a:ln>
      </xdr:spPr>
    </xdr:pic>
    <xdr:clientData/>
  </xdr:twoCellAnchor>
  <xdr:twoCellAnchor editAs="oneCell">
    <xdr:from>
      <xdr:col>0</xdr:col>
      <xdr:colOff>0</xdr:colOff>
      <xdr:row>3</xdr:row>
      <xdr:rowOff>0</xdr:rowOff>
    </xdr:from>
    <xdr:to>
      <xdr:col>18</xdr:col>
      <xdr:colOff>28080</xdr:colOff>
      <xdr:row>3</xdr:row>
      <xdr:rowOff>-13015080</xdr:rowOff>
    </xdr:to>
    <xdr:pic>
      <xdr:nvPicPr>
        <xdr:cNvPr id="181" name="Image 10" descr=""/>
        <xdr:cNvPicPr/>
      </xdr:nvPicPr>
      <xdr:blipFill>
        <a:blip r:embed="rId3"/>
        <a:srcRect l="8672" t="25433" r="0" b="17823"/>
        <a:stretch/>
      </xdr:blipFill>
      <xdr:spPr>
        <a:xfrm>
          <a:off x="0" y="1218960"/>
          <a:ext cx="16715880" cy="36000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82" name="Image 11" descr=""/>
        <xdr:cNvPicPr/>
      </xdr:nvPicPr>
      <xdr:blipFill>
        <a:blip r:embed="rId4"/>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83" name="Image 12" descr=""/>
        <xdr:cNvPicPr/>
      </xdr:nvPicPr>
      <xdr:blipFill>
        <a:blip r:embed="rId5"/>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84" name="Image 1" descr=""/>
        <xdr:cNvPicPr/>
      </xdr:nvPicPr>
      <xdr:blipFill>
        <a:blip r:embed="rId6"/>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85" name="Image 14" descr=""/>
        <xdr:cNvPicPr/>
      </xdr:nvPicPr>
      <xdr:blipFill>
        <a:blip r:embed="rId7"/>
        <a:srcRect l="8672" t="25433" r="0" b="17823"/>
        <a:stretch/>
      </xdr:blipFill>
      <xdr:spPr>
        <a:xfrm>
          <a:off x="0" y="857160"/>
          <a:ext cx="16715880" cy="371160"/>
        </a:xfrm>
        <a:prstGeom prst="rect">
          <a:avLst/>
        </a:prstGeom>
        <a:ln w="9360">
          <a:noFill/>
        </a:ln>
      </xdr:spPr>
    </xdr:pic>
    <xdr:clientData/>
  </xdr:twoCellAnchor>
  <xdr:twoCellAnchor editAs="absolute">
    <xdr:from>
      <xdr:col>0</xdr:col>
      <xdr:colOff>0</xdr:colOff>
      <xdr:row>0</xdr:row>
      <xdr:rowOff>0</xdr:rowOff>
    </xdr:from>
    <xdr:to>
      <xdr:col>1</xdr:col>
      <xdr:colOff>1542600</xdr:colOff>
      <xdr:row>2</xdr:row>
      <xdr:rowOff>228240</xdr:rowOff>
    </xdr:to>
    <xdr:sp>
      <xdr:nvSpPr>
        <xdr:cNvPr id="186" name="CustomShape 1"/>
        <xdr:cNvSpPr/>
      </xdr:nvSpPr>
      <xdr:spPr>
        <a:xfrm>
          <a:off x="0" y="0"/>
          <a:ext cx="1771200" cy="1085400"/>
        </a:xfrm>
        <a:prstGeom prst="roundRect">
          <a:avLst>
            <a:gd name="adj" fmla="val 16667"/>
          </a:avLst>
        </a:prstGeom>
        <a:solidFill>
          <a:srgbClr val="ffffff"/>
        </a:solidFill>
        <a:ln w="9360">
          <a:noFill/>
        </a:ln>
      </xdr:spPr>
      <xdr:style>
        <a:lnRef idx="0"/>
        <a:fillRef idx="0"/>
        <a:effectRef idx="0"/>
        <a:fontRef idx="minor"/>
      </xdr:style>
    </xdr:sp>
    <xdr:clientData/>
  </xdr:twoCellAnchor>
  <xdr:twoCellAnchor editAs="absolute">
    <xdr:from>
      <xdr:col>1</xdr:col>
      <xdr:colOff>1246320</xdr:colOff>
      <xdr:row>0</xdr:row>
      <xdr:rowOff>0</xdr:rowOff>
    </xdr:from>
    <xdr:to>
      <xdr:col>1</xdr:col>
      <xdr:colOff>1542960</xdr:colOff>
      <xdr:row>0</xdr:row>
      <xdr:rowOff>266400</xdr:rowOff>
    </xdr:to>
    <xdr:sp>
      <xdr:nvSpPr>
        <xdr:cNvPr id="187" name="CustomShape 1"/>
        <xdr:cNvSpPr/>
      </xdr:nvSpPr>
      <xdr:spPr>
        <a:xfrm>
          <a:off x="1474920" y="0"/>
          <a:ext cx="296640" cy="266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0</xdr:col>
      <xdr:colOff>0</xdr:colOff>
      <xdr:row>0</xdr:row>
      <xdr:rowOff>0</xdr:rowOff>
    </xdr:from>
    <xdr:to>
      <xdr:col>1</xdr:col>
      <xdr:colOff>1307880</xdr:colOff>
      <xdr:row>2</xdr:row>
      <xdr:rowOff>228240</xdr:rowOff>
    </xdr:to>
    <xdr:sp>
      <xdr:nvSpPr>
        <xdr:cNvPr id="188" name="CustomShape 1"/>
        <xdr:cNvSpPr/>
      </xdr:nvSpPr>
      <xdr:spPr>
        <a:xfrm>
          <a:off x="0" y="0"/>
          <a:ext cx="1536480" cy="1085400"/>
        </a:xfrm>
        <a:prstGeom prst="rect">
          <a:avLst/>
        </a:prstGeom>
        <a:solidFill>
          <a:srgbClr val="ffffff"/>
        </a:solidFill>
        <a:ln w="9360">
          <a:noFill/>
        </a:ln>
      </xdr:spPr>
      <xdr:style>
        <a:lnRef idx="0"/>
        <a:fillRef idx="0"/>
        <a:effectRef idx="0"/>
        <a:fontRef idx="minor"/>
      </xdr:style>
    </xdr:sp>
    <xdr:clientData/>
  </xdr:twoCellAnchor>
  <xdr:twoCellAnchor editAs="oneCell">
    <xdr:from>
      <xdr:col>15</xdr:col>
      <xdr:colOff>393840</xdr:colOff>
      <xdr:row>9</xdr:row>
      <xdr:rowOff>139680</xdr:rowOff>
    </xdr:from>
    <xdr:to>
      <xdr:col>15</xdr:col>
      <xdr:colOff>728280</xdr:colOff>
      <xdr:row>11</xdr:row>
      <xdr:rowOff>49680</xdr:rowOff>
    </xdr:to>
    <xdr:sp>
      <xdr:nvSpPr>
        <xdr:cNvPr id="189" name="CustomShape 1"/>
        <xdr:cNvSpPr/>
      </xdr:nvSpPr>
      <xdr:spPr>
        <a:xfrm>
          <a:off x="14538240" y="2628000"/>
          <a:ext cx="334440" cy="367200"/>
        </a:xfrm>
        <a:prstGeom prst="ellipse">
          <a:avLst/>
        </a:prstGeom>
        <a:solidFill>
          <a:schemeClr val="bg1"/>
        </a:solidFill>
        <a:ln>
          <a:solidFill>
            <a:schemeClr val="accent6">
              <a:lumMod val="75000"/>
            </a:schemeClr>
          </a:solidFill>
          <a:round/>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p>
          <a:pPr algn="ctr">
            <a:lnSpc>
              <a:spcPct val="100000"/>
            </a:lnSpc>
          </a:pPr>
          <a:r>
            <a:rPr b="1" lang="es-ES" sz="1600" spc="-1" strike="noStrike">
              <a:solidFill>
                <a:srgbClr val="e46c0a"/>
              </a:solidFill>
              <a:uFill>
                <a:solidFill>
                  <a:srgbClr val="ffffff"/>
                </a:solidFill>
              </a:uFill>
              <a:latin typeface="Calibri"/>
            </a:rPr>
            <a:t>?</a:t>
          </a:r>
          <a:endParaRPr b="0" lang="es-E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47520</xdr:colOff>
      <xdr:row>0</xdr:row>
      <xdr:rowOff>0</xdr:rowOff>
    </xdr:from>
    <xdr:to>
      <xdr:col>1</xdr:col>
      <xdr:colOff>1285560</xdr:colOff>
      <xdr:row>2</xdr:row>
      <xdr:rowOff>190080</xdr:rowOff>
    </xdr:to>
    <xdr:pic>
      <xdr:nvPicPr>
        <xdr:cNvPr id="190" name="Image 16" descr=""/>
        <xdr:cNvPicPr/>
      </xdr:nvPicPr>
      <xdr:blipFill>
        <a:blip r:embed="rId8"/>
        <a:stretch/>
      </xdr:blipFill>
      <xdr:spPr>
        <a:xfrm>
          <a:off x="47520" y="0"/>
          <a:ext cx="1466640" cy="1047240"/>
        </a:xfrm>
        <a:prstGeom prst="rect">
          <a:avLst/>
        </a:prstGeom>
        <a:ln w="9360">
          <a:noFill/>
        </a:ln>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3</xdr:row>
      <xdr:rowOff>0</xdr:rowOff>
    </xdr:from>
    <xdr:to>
      <xdr:col>18</xdr:col>
      <xdr:colOff>28080</xdr:colOff>
      <xdr:row>3</xdr:row>
      <xdr:rowOff>-13015080</xdr:rowOff>
    </xdr:to>
    <xdr:pic>
      <xdr:nvPicPr>
        <xdr:cNvPr id="191" name="Image 1" descr=""/>
        <xdr:cNvPicPr/>
      </xdr:nvPicPr>
      <xdr:blipFill>
        <a:blip r:embed="rId1"/>
        <a:srcRect l="8672" t="25433" r="0" b="17823"/>
        <a:stretch/>
      </xdr:blipFill>
      <xdr:spPr>
        <a:xfrm>
          <a:off x="0" y="1218960"/>
          <a:ext cx="16715880" cy="360000"/>
        </a:xfrm>
        <a:prstGeom prst="rect">
          <a:avLst/>
        </a:prstGeom>
        <a:ln w="9360">
          <a:noFill/>
        </a:ln>
      </xdr:spPr>
    </xdr:pic>
    <xdr:clientData/>
  </xdr:twoCellAnchor>
  <xdr:twoCellAnchor editAs="oneCell">
    <xdr:from>
      <xdr:col>15</xdr:col>
      <xdr:colOff>411840</xdr:colOff>
      <xdr:row>5</xdr:row>
      <xdr:rowOff>167400</xdr:rowOff>
    </xdr:from>
    <xdr:to>
      <xdr:col>15</xdr:col>
      <xdr:colOff>746280</xdr:colOff>
      <xdr:row>7</xdr:row>
      <xdr:rowOff>115560</xdr:rowOff>
    </xdr:to>
    <xdr:sp>
      <xdr:nvSpPr>
        <xdr:cNvPr id="192" name="CustomShape 1"/>
        <xdr:cNvSpPr/>
      </xdr:nvSpPr>
      <xdr:spPr>
        <a:xfrm>
          <a:off x="14556240" y="1922400"/>
          <a:ext cx="334440" cy="357840"/>
        </a:xfrm>
        <a:prstGeom prst="ellipse">
          <a:avLst/>
        </a:prstGeom>
        <a:solidFill>
          <a:schemeClr val="bg1"/>
        </a:solidFill>
        <a:ln>
          <a:solidFill>
            <a:schemeClr val="accent6">
              <a:lumMod val="75000"/>
            </a:schemeClr>
          </a:solidFill>
          <a:round/>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p>
          <a:pPr algn="ctr">
            <a:lnSpc>
              <a:spcPct val="100000"/>
            </a:lnSpc>
          </a:pPr>
          <a:r>
            <a:rPr b="1" lang="es-ES" sz="1600" spc="-1" strike="noStrike">
              <a:solidFill>
                <a:srgbClr val="e46c0a"/>
              </a:solidFill>
              <a:uFill>
                <a:solidFill>
                  <a:srgbClr val="ffffff"/>
                </a:solidFill>
              </a:uFill>
              <a:latin typeface="Calibri"/>
            </a:rPr>
            <a:t>?</a:t>
          </a:r>
          <a:endParaRPr b="0" lang="es-E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0</xdr:colOff>
      <xdr:row>3</xdr:row>
      <xdr:rowOff>0</xdr:rowOff>
    </xdr:from>
    <xdr:to>
      <xdr:col>18</xdr:col>
      <xdr:colOff>28080</xdr:colOff>
      <xdr:row>3</xdr:row>
      <xdr:rowOff>-13015080</xdr:rowOff>
    </xdr:to>
    <xdr:pic>
      <xdr:nvPicPr>
        <xdr:cNvPr id="193" name="Image 1" descr=""/>
        <xdr:cNvPicPr/>
      </xdr:nvPicPr>
      <xdr:blipFill>
        <a:blip r:embed="rId2"/>
        <a:srcRect l="8672" t="25433" r="0" b="17823"/>
        <a:stretch/>
      </xdr:blipFill>
      <xdr:spPr>
        <a:xfrm>
          <a:off x="0" y="1218960"/>
          <a:ext cx="16715880" cy="360000"/>
        </a:xfrm>
        <a:prstGeom prst="rect">
          <a:avLst/>
        </a:prstGeom>
        <a:ln w="9360">
          <a:noFill/>
        </a:ln>
      </xdr:spPr>
    </xdr:pic>
    <xdr:clientData/>
  </xdr:twoCellAnchor>
  <xdr:twoCellAnchor editAs="oneCell">
    <xdr:from>
      <xdr:col>0</xdr:col>
      <xdr:colOff>0</xdr:colOff>
      <xdr:row>3</xdr:row>
      <xdr:rowOff>0</xdr:rowOff>
    </xdr:from>
    <xdr:to>
      <xdr:col>18</xdr:col>
      <xdr:colOff>28080</xdr:colOff>
      <xdr:row>3</xdr:row>
      <xdr:rowOff>-13015080</xdr:rowOff>
    </xdr:to>
    <xdr:pic>
      <xdr:nvPicPr>
        <xdr:cNvPr id="194" name="Image 10" descr=""/>
        <xdr:cNvPicPr/>
      </xdr:nvPicPr>
      <xdr:blipFill>
        <a:blip r:embed="rId3"/>
        <a:srcRect l="8672" t="25433" r="0" b="17823"/>
        <a:stretch/>
      </xdr:blipFill>
      <xdr:spPr>
        <a:xfrm>
          <a:off x="0" y="1218960"/>
          <a:ext cx="16715880" cy="36000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95" name="Image 11" descr=""/>
        <xdr:cNvPicPr/>
      </xdr:nvPicPr>
      <xdr:blipFill>
        <a:blip r:embed="rId4"/>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96" name="Image 12" descr=""/>
        <xdr:cNvPicPr/>
      </xdr:nvPicPr>
      <xdr:blipFill>
        <a:blip r:embed="rId5"/>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97" name="Image 1" descr=""/>
        <xdr:cNvPicPr/>
      </xdr:nvPicPr>
      <xdr:blipFill>
        <a:blip r:embed="rId6"/>
        <a:srcRect l="8672" t="25433" r="0" b="17823"/>
        <a:stretch/>
      </xdr:blipFill>
      <xdr:spPr>
        <a:xfrm>
          <a:off x="0" y="857160"/>
          <a:ext cx="16715880" cy="371160"/>
        </a:xfrm>
        <a:prstGeom prst="rect">
          <a:avLst/>
        </a:prstGeom>
        <a:ln w="9360">
          <a:noFill/>
        </a:ln>
      </xdr:spPr>
    </xdr:pic>
    <xdr:clientData/>
  </xdr:twoCellAnchor>
  <xdr:twoCellAnchor editAs="oneCell">
    <xdr:from>
      <xdr:col>0</xdr:col>
      <xdr:colOff>0</xdr:colOff>
      <xdr:row>2</xdr:row>
      <xdr:rowOff>0</xdr:rowOff>
    </xdr:from>
    <xdr:to>
      <xdr:col>18</xdr:col>
      <xdr:colOff>28080</xdr:colOff>
      <xdr:row>3</xdr:row>
      <xdr:rowOff>9360</xdr:rowOff>
    </xdr:to>
    <xdr:pic>
      <xdr:nvPicPr>
        <xdr:cNvPr id="198" name="Image 14" descr=""/>
        <xdr:cNvPicPr/>
      </xdr:nvPicPr>
      <xdr:blipFill>
        <a:blip r:embed="rId7"/>
        <a:srcRect l="8672" t="25433" r="0" b="17823"/>
        <a:stretch/>
      </xdr:blipFill>
      <xdr:spPr>
        <a:xfrm>
          <a:off x="0" y="857160"/>
          <a:ext cx="16715880" cy="371160"/>
        </a:xfrm>
        <a:prstGeom prst="rect">
          <a:avLst/>
        </a:prstGeom>
        <a:ln w="9360">
          <a:noFill/>
        </a:ln>
      </xdr:spPr>
    </xdr:pic>
    <xdr:clientData/>
  </xdr:twoCellAnchor>
  <xdr:twoCellAnchor editAs="absolute">
    <xdr:from>
      <xdr:col>0</xdr:col>
      <xdr:colOff>0</xdr:colOff>
      <xdr:row>0</xdr:row>
      <xdr:rowOff>0</xdr:rowOff>
    </xdr:from>
    <xdr:to>
      <xdr:col>1</xdr:col>
      <xdr:colOff>1542600</xdr:colOff>
      <xdr:row>2</xdr:row>
      <xdr:rowOff>228240</xdr:rowOff>
    </xdr:to>
    <xdr:sp>
      <xdr:nvSpPr>
        <xdr:cNvPr id="199" name="CustomShape 1"/>
        <xdr:cNvSpPr/>
      </xdr:nvSpPr>
      <xdr:spPr>
        <a:xfrm>
          <a:off x="0" y="0"/>
          <a:ext cx="1771200" cy="1085400"/>
        </a:xfrm>
        <a:prstGeom prst="roundRect">
          <a:avLst>
            <a:gd name="adj" fmla="val 16667"/>
          </a:avLst>
        </a:prstGeom>
        <a:solidFill>
          <a:srgbClr val="ffffff"/>
        </a:solidFill>
        <a:ln w="9360">
          <a:noFill/>
        </a:ln>
      </xdr:spPr>
      <xdr:style>
        <a:lnRef idx="0"/>
        <a:fillRef idx="0"/>
        <a:effectRef idx="0"/>
        <a:fontRef idx="minor"/>
      </xdr:style>
    </xdr:sp>
    <xdr:clientData/>
  </xdr:twoCellAnchor>
  <xdr:twoCellAnchor editAs="absolute">
    <xdr:from>
      <xdr:col>1</xdr:col>
      <xdr:colOff>1246320</xdr:colOff>
      <xdr:row>0</xdr:row>
      <xdr:rowOff>0</xdr:rowOff>
    </xdr:from>
    <xdr:to>
      <xdr:col>1</xdr:col>
      <xdr:colOff>1542960</xdr:colOff>
      <xdr:row>0</xdr:row>
      <xdr:rowOff>266400</xdr:rowOff>
    </xdr:to>
    <xdr:sp>
      <xdr:nvSpPr>
        <xdr:cNvPr id="200" name="CustomShape 1"/>
        <xdr:cNvSpPr/>
      </xdr:nvSpPr>
      <xdr:spPr>
        <a:xfrm>
          <a:off x="1474920" y="0"/>
          <a:ext cx="296640" cy="266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editAs="absolute">
    <xdr:from>
      <xdr:col>0</xdr:col>
      <xdr:colOff>0</xdr:colOff>
      <xdr:row>0</xdr:row>
      <xdr:rowOff>0</xdr:rowOff>
    </xdr:from>
    <xdr:to>
      <xdr:col>1</xdr:col>
      <xdr:colOff>1307880</xdr:colOff>
      <xdr:row>2</xdr:row>
      <xdr:rowOff>228240</xdr:rowOff>
    </xdr:to>
    <xdr:sp>
      <xdr:nvSpPr>
        <xdr:cNvPr id="201" name="CustomShape 1"/>
        <xdr:cNvSpPr/>
      </xdr:nvSpPr>
      <xdr:spPr>
        <a:xfrm>
          <a:off x="0" y="0"/>
          <a:ext cx="1536480" cy="1085400"/>
        </a:xfrm>
        <a:prstGeom prst="rect">
          <a:avLst/>
        </a:prstGeom>
        <a:solidFill>
          <a:srgbClr val="ffffff"/>
        </a:solidFill>
        <a:ln w="9360">
          <a:noFill/>
        </a:ln>
      </xdr:spPr>
      <xdr:style>
        <a:lnRef idx="0"/>
        <a:fillRef idx="0"/>
        <a:effectRef idx="0"/>
        <a:fontRef idx="minor"/>
      </xdr:style>
    </xdr:sp>
    <xdr:clientData/>
  </xdr:twoCellAnchor>
  <xdr:twoCellAnchor editAs="oneCell">
    <xdr:from>
      <xdr:col>15</xdr:col>
      <xdr:colOff>393840</xdr:colOff>
      <xdr:row>9</xdr:row>
      <xdr:rowOff>139680</xdr:rowOff>
    </xdr:from>
    <xdr:to>
      <xdr:col>15</xdr:col>
      <xdr:colOff>728280</xdr:colOff>
      <xdr:row>11</xdr:row>
      <xdr:rowOff>49680</xdr:rowOff>
    </xdr:to>
    <xdr:sp>
      <xdr:nvSpPr>
        <xdr:cNvPr id="202" name="CustomShape 1"/>
        <xdr:cNvSpPr/>
      </xdr:nvSpPr>
      <xdr:spPr>
        <a:xfrm>
          <a:off x="14538240" y="2790000"/>
          <a:ext cx="334440" cy="367200"/>
        </a:xfrm>
        <a:prstGeom prst="ellipse">
          <a:avLst/>
        </a:prstGeom>
        <a:solidFill>
          <a:schemeClr val="bg1"/>
        </a:solidFill>
        <a:ln>
          <a:solidFill>
            <a:schemeClr val="accent6">
              <a:lumMod val="75000"/>
            </a:schemeClr>
          </a:solidFill>
          <a:round/>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p>
          <a:pPr algn="ctr">
            <a:lnSpc>
              <a:spcPct val="100000"/>
            </a:lnSpc>
          </a:pPr>
          <a:r>
            <a:rPr b="1" lang="es-ES" sz="1600" spc="-1" strike="noStrike">
              <a:solidFill>
                <a:srgbClr val="e46c0a"/>
              </a:solidFill>
              <a:uFill>
                <a:solidFill>
                  <a:srgbClr val="ffffff"/>
                </a:solidFill>
              </a:uFill>
              <a:latin typeface="Calibri"/>
            </a:rPr>
            <a:t>?</a:t>
          </a:r>
          <a:endParaRPr b="0" lang="es-ES" sz="1200" spc="-1" strike="noStrike">
            <a:solidFill>
              <a:srgbClr val="000000"/>
            </a:solidFill>
            <a:uFill>
              <a:solidFill>
                <a:srgbClr val="ffffff"/>
              </a:solidFill>
            </a:uFill>
            <a:latin typeface="Times New Roman"/>
          </a:endParaRPr>
        </a:p>
      </xdr:txBody>
    </xdr:sp>
    <xdr:clientData/>
  </xdr:twoCellAnchor>
  <xdr:twoCellAnchor editAs="oneCell">
    <xdr:from>
      <xdr:col>0</xdr:col>
      <xdr:colOff>47520</xdr:colOff>
      <xdr:row>0</xdr:row>
      <xdr:rowOff>0</xdr:rowOff>
    </xdr:from>
    <xdr:to>
      <xdr:col>1</xdr:col>
      <xdr:colOff>1285560</xdr:colOff>
      <xdr:row>2</xdr:row>
      <xdr:rowOff>190080</xdr:rowOff>
    </xdr:to>
    <xdr:pic>
      <xdr:nvPicPr>
        <xdr:cNvPr id="203" name="Image 16" descr=""/>
        <xdr:cNvPicPr/>
      </xdr:nvPicPr>
      <xdr:blipFill>
        <a:blip r:embed="rId8"/>
        <a:stretch/>
      </xdr:blipFill>
      <xdr:spPr>
        <a:xfrm>
          <a:off x="47520" y="0"/>
          <a:ext cx="1466640" cy="1047240"/>
        </a:xfrm>
        <a:prstGeom prst="rect">
          <a:avLst/>
        </a:prstGeom>
        <a:ln w="9360">
          <a:noFill/>
        </a:ln>
      </xdr:spPr>
    </xdr:pic>
    <xdr:clientData/>
  </xdr:twoCellAnchor>
</xdr:wsDr>
</file>

<file path=xl/externalLinks/_rels/externalLink3.xml.rels><?xml version="1.0" encoding="UTF-8"?>
<Relationships xmlns="http://schemas.openxmlformats.org/package/2006/relationships"><Relationship Id="rId1" Type="http://schemas.openxmlformats.org/officeDocument/2006/relationships/externalLinkPath" Target="1"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2" TargetMode="External"/>
</Relationships>
</file>

<file path=xl/externalLinks/externalLink3.xml><?xml version="1.0" encoding="utf-8"?>
<externalLink xmlns="http://schemas.openxmlformats.org/spreadsheetml/2006/main">
  <externalBook xmlns:r="http://schemas.openxmlformats.org/officeDocument/2006/relationships" r:id="rId1"/>
</externalLink>
</file>

<file path=xl/externalLinks/externalLink4.xml><?xml version="1.0" encoding="utf-8"?>
<externalLink xmlns="http://schemas.openxmlformats.org/spreadsheetml/2006/main">
  <externalBook xmlns:r="http://schemas.openxmlformats.org/officeDocument/2006/relationships" r:id="rId1"/>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vmlDrawing" Target="../drawings/vmlDrawing8.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9.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10.vml"/>
</Relationships>
</file>

<file path=xl/worksheets/_rels/sheet16.xml.rels><?xml version="1.0" encoding="UTF-8"?>
<Relationships xmlns="http://schemas.openxmlformats.org/package/2006/relationships"><Relationship Id="rId1" Type="http://schemas.openxmlformats.org/officeDocument/2006/relationships/drawing" Target="../drawings/drawing1.xml"/>
</Relationships>
</file>

<file path=xl/worksheets/_rels/sheet17.xml.rels><?xml version="1.0" encoding="UTF-8"?>
<Relationships xmlns="http://schemas.openxmlformats.org/package/2006/relationships"><Relationship Id="rId1" Type="http://schemas.openxmlformats.org/officeDocument/2006/relationships/drawing" Target="../drawings/drawing2.xml"/>
</Relationships>
</file>

<file path=xl/worksheets/_rels/sheet18.xml.rels><?xml version="1.0" encoding="UTF-8"?>
<Relationships xmlns="http://schemas.openxmlformats.org/package/2006/relationships"><Relationship Id="rId1" Type="http://schemas.openxmlformats.org/officeDocument/2006/relationships/drawing" Target="../drawings/drawing3.xml"/>
</Relationships>
</file>

<file path=xl/worksheets/_rels/sheet20.xml.rels><?xml version="1.0" encoding="UTF-8"?>
<Relationships xmlns="http://schemas.openxmlformats.org/package/2006/relationships"><Relationship Id="rId1" Type="http://schemas.openxmlformats.org/officeDocument/2006/relationships/drawing" Target="../drawings/drawing4.xml"/>
</Relationships>
</file>

<file path=xl/worksheets/_rels/sheet21.xml.rels><?xml version="1.0" encoding="UTF-8"?>
<Relationships xmlns="http://schemas.openxmlformats.org/package/2006/relationships"><Relationship Id="rId1" Type="http://schemas.openxmlformats.org/officeDocument/2006/relationships/drawing" Target="../drawings/drawing5.xml"/>
</Relationships>
</file>

<file path=xl/worksheets/_rels/sheet23.xml.rels><?xml version="1.0" encoding="UTF-8"?>
<Relationships xmlns="http://schemas.openxmlformats.org/package/2006/relationships"><Relationship Id="rId1" Type="http://schemas.openxmlformats.org/officeDocument/2006/relationships/comments" Target="../comments23.xml"/><Relationship Id="rId2" Type="http://schemas.openxmlformats.org/officeDocument/2006/relationships/drawing" Target="../drawings/drawing6.xml"/><Relationship Id="rId3" Type="http://schemas.openxmlformats.org/officeDocument/2006/relationships/vmlDrawing" Target="../drawings/vmlDrawing11.vml"/>
</Relationships>
</file>

<file path=xl/worksheets/_rels/sheet27.xml.rels><?xml version="1.0" encoding="UTF-8"?>
<Relationships xmlns="http://schemas.openxmlformats.org/package/2006/relationships"><Relationship Id="rId1" Type="http://schemas.openxmlformats.org/officeDocument/2006/relationships/drawing" Target="../drawings/drawing7.xml"/>
</Relationships>
</file>

<file path=xl/worksheets/_rels/sheet28.xml.rels><?xml version="1.0" encoding="UTF-8"?>
<Relationships xmlns="http://schemas.openxmlformats.org/package/2006/relationships"><Relationship Id="rId1" Type="http://schemas.openxmlformats.org/officeDocument/2006/relationships/hyperlink" Target="http://www.eumayors.eu/mm/staging/library/SEAP_template_instructions.pdf" TargetMode="External"/><Relationship Id="rId2" Type="http://schemas.openxmlformats.org/officeDocument/2006/relationships/hyperlink" Target="http://www.eumayors.eu/mm/staging/library/Annex_emission_factors.pdf" TargetMode="External"/><Relationship Id="rId3" Type="http://schemas.openxmlformats.org/officeDocument/2006/relationships/hyperlink" Target="http://www.eumayors.eu/" TargetMode="External"/><Relationship Id="rId4" Type="http://schemas.openxmlformats.org/officeDocument/2006/relationships/drawing" Target="../drawings/drawing8.xml"/>
</Relationships>
</file>

<file path=xl/worksheets/_rels/sheet29.xml.rels><?xml version="1.0" encoding="UTF-8"?>
<Relationships xmlns="http://schemas.openxmlformats.org/package/2006/relationships"><Relationship Id="rId1" Type="http://schemas.openxmlformats.org/officeDocument/2006/relationships/hyperlink" Target="http://www.eumayors.eu/mm/staging/library/SEAP_template_instructions.pdf" TargetMode="External"/><Relationship Id="rId2" Type="http://schemas.openxmlformats.org/officeDocument/2006/relationships/hyperlink" Target="http://www.eumayors.eu/mm/staging/library/Annex_emission_factors.pdf" TargetMode="External"/><Relationship Id="rId3" Type="http://schemas.openxmlformats.org/officeDocument/2006/relationships/hyperlink" Target="http://www.eumayors.eu/" TargetMode="External"/><Relationship Id="rId4" Type="http://schemas.openxmlformats.org/officeDocument/2006/relationships/drawing" Target="../drawings/drawing9.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4.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5.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6.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7.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2:N37"/>
  <sheetViews>
    <sheetView windowProtection="false" showFormulas="false" showGridLines="true" showRowColHeaders="true" showZeros="true" rightToLeft="false" tabSelected="false" showOutlineSymbols="true" defaultGridColor="true" view="normal" topLeftCell="A1" colorId="64" zoomScale="72" zoomScaleNormal="72" zoomScalePageLayoutView="100" workbookViewId="0">
      <selection pane="topLeft" activeCell="O36" activeCellId="0" sqref="O36"/>
    </sheetView>
  </sheetViews>
  <sheetFormatPr defaultRowHeight="21"/>
  <cols>
    <col collapsed="false" hidden="false" max="10" min="1" style="1" width="11.2040816326531"/>
    <col collapsed="false" hidden="false" max="11" min="11" style="1" width="28.0765306122449"/>
    <col collapsed="false" hidden="false" max="1025" min="12" style="1" width="11.2040816326531"/>
  </cols>
  <sheetData>
    <row r="2" customFormat="false" ht="31.5" hidden="false" customHeight="true" outlineLevel="0" collapsed="false">
      <c r="B2" s="2"/>
      <c r="C2" s="3" t="s">
        <v>0</v>
      </c>
      <c r="D2" s="4"/>
      <c r="E2" s="4"/>
      <c r="F2" s="5"/>
      <c r="G2" s="6"/>
      <c r="H2" s="6"/>
      <c r="I2" s="6"/>
      <c r="J2" s="6"/>
      <c r="K2" s="6"/>
      <c r="L2" s="6"/>
      <c r="M2" s="6"/>
      <c r="N2" s="7"/>
    </row>
    <row r="3" customFormat="false" ht="21" hidden="false" customHeight="true" outlineLevel="0" collapsed="false">
      <c r="B3" s="8"/>
      <c r="N3" s="9"/>
    </row>
    <row r="4" customFormat="false" ht="21" hidden="false" customHeight="true" outlineLevel="0" collapsed="false">
      <c r="B4" s="8"/>
      <c r="C4" s="10" t="s">
        <v>1</v>
      </c>
      <c r="D4" s="10"/>
      <c r="E4" s="10"/>
      <c r="F4" s="10"/>
      <c r="G4" s="11"/>
      <c r="H4" s="11"/>
      <c r="I4" s="11"/>
      <c r="J4" s="12"/>
      <c r="K4" s="12"/>
      <c r="N4" s="9"/>
    </row>
    <row r="5" customFormat="false" ht="21" hidden="false" customHeight="true" outlineLevel="0" collapsed="false">
      <c r="B5" s="8"/>
      <c r="D5" s="13" t="s">
        <v>2</v>
      </c>
      <c r="M5" s="14"/>
      <c r="N5" s="9"/>
    </row>
    <row r="6" customFormat="false" ht="21" hidden="false" customHeight="true" outlineLevel="0" collapsed="false">
      <c r="B6" s="8"/>
      <c r="D6" s="13" t="s">
        <v>3</v>
      </c>
      <c r="M6" s="15"/>
      <c r="N6" s="9"/>
    </row>
    <row r="7" customFormat="false" ht="21" hidden="false" customHeight="true" outlineLevel="0" collapsed="false">
      <c r="B7" s="8"/>
      <c r="D7" s="13" t="s">
        <v>4</v>
      </c>
      <c r="M7" s="16" t="s">
        <v>5</v>
      </c>
      <c r="N7" s="9"/>
    </row>
    <row r="8" customFormat="false" ht="21" hidden="false" customHeight="true" outlineLevel="0" collapsed="false">
      <c r="B8" s="8"/>
      <c r="D8" s="13" t="s">
        <v>6</v>
      </c>
      <c r="M8" s="17"/>
      <c r="N8" s="9"/>
    </row>
    <row r="9" customFormat="false" ht="21" hidden="false" customHeight="true" outlineLevel="0" collapsed="false">
      <c r="B9" s="8"/>
      <c r="D9" s="13"/>
      <c r="N9" s="9"/>
    </row>
    <row r="10" customFormat="false" ht="21" hidden="false" customHeight="true" outlineLevel="0" collapsed="false">
      <c r="B10" s="8"/>
      <c r="D10" s="13"/>
      <c r="F10" s="18"/>
      <c r="G10" s="19" t="s">
        <v>7</v>
      </c>
      <c r="H10" s="20"/>
      <c r="I10" s="20"/>
      <c r="J10" s="6"/>
      <c r="K10" s="7"/>
      <c r="N10" s="9"/>
    </row>
    <row r="11" customFormat="false" ht="21" hidden="false" customHeight="true" outlineLevel="0" collapsed="false">
      <c r="B11" s="8"/>
      <c r="D11" s="13"/>
      <c r="F11" s="21"/>
      <c r="G11" s="22" t="s">
        <v>8</v>
      </c>
      <c r="H11" s="23"/>
      <c r="I11" s="23"/>
      <c r="K11" s="9"/>
      <c r="N11" s="9"/>
    </row>
    <row r="12" customFormat="false" ht="21" hidden="false" customHeight="true" outlineLevel="0" collapsed="false">
      <c r="B12" s="8"/>
      <c r="D12" s="13"/>
      <c r="F12" s="21"/>
      <c r="G12" s="22" t="s">
        <v>9</v>
      </c>
      <c r="H12" s="23"/>
      <c r="I12" s="23"/>
      <c r="K12" s="9"/>
      <c r="N12" s="9"/>
    </row>
    <row r="13" customFormat="false" ht="21" hidden="false" customHeight="true" outlineLevel="0" collapsed="false">
      <c r="B13" s="8"/>
      <c r="D13" s="13"/>
      <c r="F13" s="21"/>
      <c r="G13" s="22" t="s">
        <v>10</v>
      </c>
      <c r="H13" s="23"/>
      <c r="I13" s="23"/>
      <c r="K13" s="9"/>
      <c r="N13" s="9"/>
    </row>
    <row r="14" customFormat="false" ht="21" hidden="false" customHeight="true" outlineLevel="0" collapsed="false">
      <c r="B14" s="8"/>
      <c r="D14" s="13"/>
      <c r="F14" s="8"/>
      <c r="G14" s="23" t="s">
        <v>11</v>
      </c>
      <c r="H14" s="23"/>
      <c r="I14" s="23"/>
      <c r="K14" s="9"/>
      <c r="N14" s="9"/>
    </row>
    <row r="15" customFormat="false" ht="21" hidden="false" customHeight="true" outlineLevel="0" collapsed="false">
      <c r="B15" s="8"/>
      <c r="D15" s="13"/>
      <c r="F15" s="8"/>
      <c r="G15" s="23" t="s">
        <v>12</v>
      </c>
      <c r="H15" s="23"/>
      <c r="I15" s="23"/>
      <c r="K15" s="9"/>
      <c r="N15" s="9"/>
    </row>
    <row r="16" customFormat="false" ht="21" hidden="false" customHeight="true" outlineLevel="0" collapsed="false">
      <c r="B16" s="8"/>
      <c r="D16" s="13"/>
      <c r="F16" s="8"/>
      <c r="G16" s="23" t="s">
        <v>13</v>
      </c>
      <c r="H16" s="23"/>
      <c r="I16" s="23"/>
      <c r="K16" s="9"/>
      <c r="N16" s="9"/>
    </row>
    <row r="17" customFormat="false" ht="21" hidden="false" customHeight="true" outlineLevel="0" collapsed="false">
      <c r="B17" s="8"/>
      <c r="D17" s="13"/>
      <c r="F17" s="8"/>
      <c r="G17" s="23" t="s">
        <v>14</v>
      </c>
      <c r="H17" s="23"/>
      <c r="I17" s="23"/>
      <c r="K17" s="9"/>
      <c r="N17" s="9"/>
    </row>
    <row r="18" customFormat="false" ht="21" hidden="false" customHeight="true" outlineLevel="0" collapsed="false">
      <c r="B18" s="8"/>
      <c r="D18" s="13"/>
      <c r="F18" s="8"/>
      <c r="G18" s="23" t="s">
        <v>15</v>
      </c>
      <c r="H18" s="23"/>
      <c r="I18" s="23"/>
      <c r="K18" s="9"/>
      <c r="N18" s="9"/>
    </row>
    <row r="19" customFormat="false" ht="21" hidden="false" customHeight="true" outlineLevel="0" collapsed="false">
      <c r="B19" s="8"/>
      <c r="D19" s="13"/>
      <c r="F19" s="8"/>
      <c r="G19" s="23" t="s">
        <v>16</v>
      </c>
      <c r="H19" s="23"/>
      <c r="I19" s="23"/>
      <c r="K19" s="9"/>
      <c r="N19" s="9"/>
    </row>
    <row r="20" customFormat="false" ht="21" hidden="false" customHeight="true" outlineLevel="0" collapsed="false">
      <c r="B20" s="8"/>
      <c r="D20" s="13"/>
      <c r="F20" s="8"/>
      <c r="G20" s="23" t="s">
        <v>17</v>
      </c>
      <c r="H20" s="23"/>
      <c r="I20" s="23"/>
      <c r="K20" s="9"/>
      <c r="N20" s="9"/>
    </row>
    <row r="21" customFormat="false" ht="21" hidden="false" customHeight="true" outlineLevel="0" collapsed="false">
      <c r="B21" s="8"/>
      <c r="D21" s="13"/>
      <c r="F21" s="24"/>
      <c r="G21" s="25" t="s">
        <v>18</v>
      </c>
      <c r="H21" s="25"/>
      <c r="I21" s="25"/>
      <c r="J21" s="26"/>
      <c r="K21" s="27"/>
      <c r="N21" s="9"/>
    </row>
    <row r="22" customFormat="false" ht="21" hidden="false" customHeight="true" outlineLevel="0" collapsed="false">
      <c r="B22" s="8"/>
      <c r="C22" s="28"/>
      <c r="D22" s="28"/>
      <c r="E22" s="28"/>
      <c r="F22" s="28"/>
      <c r="N22" s="9"/>
    </row>
    <row r="23" customFormat="false" ht="21" hidden="false" customHeight="true" outlineLevel="0" collapsed="false">
      <c r="B23" s="8"/>
      <c r="C23" s="29" t="s">
        <v>19</v>
      </c>
      <c r="D23" s="30"/>
      <c r="E23" s="30"/>
      <c r="F23" s="30"/>
      <c r="G23" s="12"/>
      <c r="H23" s="12"/>
      <c r="I23" s="12"/>
      <c r="J23" s="12"/>
      <c r="K23" s="12"/>
      <c r="N23" s="9"/>
    </row>
    <row r="24" customFormat="false" ht="21" hidden="false" customHeight="true" outlineLevel="0" collapsed="false">
      <c r="B24" s="8"/>
      <c r="C24" s="28"/>
      <c r="D24" s="13" t="s">
        <v>20</v>
      </c>
      <c r="M24" s="14"/>
      <c r="N24" s="9"/>
    </row>
    <row r="25" customFormat="false" ht="21" hidden="false" customHeight="true" outlineLevel="0" collapsed="false">
      <c r="B25" s="8"/>
      <c r="D25" s="13" t="s">
        <v>21</v>
      </c>
      <c r="M25" s="17"/>
      <c r="N25" s="9"/>
    </row>
    <row r="26" customFormat="false" ht="21" hidden="false" customHeight="true" outlineLevel="0" collapsed="false">
      <c r="B26" s="8"/>
      <c r="D26" s="13"/>
      <c r="N26" s="9"/>
    </row>
    <row r="27" customFormat="false" ht="21" hidden="false" customHeight="true" outlineLevel="0" collapsed="false">
      <c r="B27" s="8"/>
      <c r="F27" s="18"/>
      <c r="G27" s="19" t="s">
        <v>22</v>
      </c>
      <c r="H27" s="20"/>
      <c r="I27" s="20"/>
      <c r="J27" s="6"/>
      <c r="K27" s="7"/>
      <c r="N27" s="9"/>
    </row>
    <row r="28" customFormat="false" ht="21" hidden="false" customHeight="true" outlineLevel="0" collapsed="false">
      <c r="B28" s="8"/>
      <c r="F28" s="21"/>
      <c r="G28" s="22" t="s">
        <v>23</v>
      </c>
      <c r="H28" s="23"/>
      <c r="I28" s="23"/>
      <c r="K28" s="9"/>
      <c r="N28" s="9"/>
    </row>
    <row r="29" customFormat="false" ht="21" hidden="false" customHeight="true" outlineLevel="0" collapsed="false">
      <c r="B29" s="8"/>
      <c r="F29" s="21"/>
      <c r="G29" s="22" t="s">
        <v>24</v>
      </c>
      <c r="H29" s="23"/>
      <c r="I29" s="23"/>
      <c r="K29" s="9"/>
      <c r="N29" s="9"/>
    </row>
    <row r="30" customFormat="false" ht="21" hidden="false" customHeight="true" outlineLevel="0" collapsed="false">
      <c r="B30" s="8"/>
      <c r="F30" s="8"/>
      <c r="G30" s="23" t="s">
        <v>25</v>
      </c>
      <c r="H30" s="23"/>
      <c r="I30" s="23"/>
      <c r="K30" s="9"/>
      <c r="N30" s="9"/>
    </row>
    <row r="31" customFormat="false" ht="21" hidden="false" customHeight="true" outlineLevel="0" collapsed="false">
      <c r="B31" s="8"/>
      <c r="F31" s="8"/>
      <c r="G31" s="23" t="s">
        <v>26</v>
      </c>
      <c r="H31" s="23"/>
      <c r="I31" s="23"/>
      <c r="K31" s="9"/>
      <c r="N31" s="9"/>
    </row>
    <row r="32" customFormat="false" ht="21" hidden="false" customHeight="true" outlineLevel="0" collapsed="false">
      <c r="B32" s="8"/>
      <c r="F32" s="8"/>
      <c r="G32" s="23" t="s">
        <v>27</v>
      </c>
      <c r="H32" s="23"/>
      <c r="I32" s="23"/>
      <c r="K32" s="9"/>
      <c r="N32" s="9"/>
    </row>
    <row r="33" customFormat="false" ht="21" hidden="false" customHeight="true" outlineLevel="0" collapsed="false">
      <c r="B33" s="8"/>
      <c r="F33" s="8"/>
      <c r="G33" s="23" t="s">
        <v>28</v>
      </c>
      <c r="H33" s="23"/>
      <c r="I33" s="23"/>
      <c r="K33" s="9"/>
      <c r="N33" s="9"/>
    </row>
    <row r="34" customFormat="false" ht="21" hidden="false" customHeight="true" outlineLevel="0" collapsed="false">
      <c r="B34" s="8"/>
      <c r="F34" s="24"/>
      <c r="G34" s="25" t="s">
        <v>29</v>
      </c>
      <c r="H34" s="25"/>
      <c r="I34" s="25"/>
      <c r="J34" s="26"/>
      <c r="K34" s="27"/>
      <c r="N34" s="9"/>
    </row>
    <row r="35" customFormat="false" ht="21" hidden="false" customHeight="true" outlineLevel="0" collapsed="false">
      <c r="B35" s="8"/>
      <c r="N35" s="9"/>
    </row>
    <row r="36" customFormat="false" ht="21" hidden="false" customHeight="true" outlineLevel="0" collapsed="false">
      <c r="B36" s="8"/>
      <c r="N36" s="9"/>
    </row>
    <row r="37" customFormat="false" ht="21" hidden="false" customHeight="true" outlineLevel="0" collapsed="false">
      <c r="B37" s="24"/>
      <c r="C37" s="26"/>
      <c r="D37" s="26"/>
      <c r="E37" s="26"/>
      <c r="F37" s="26"/>
      <c r="G37" s="26"/>
      <c r="H37" s="26"/>
      <c r="I37" s="26"/>
      <c r="J37" s="26"/>
      <c r="K37" s="26"/>
      <c r="L37" s="26"/>
      <c r="M37" s="26"/>
      <c r="N37" s="27"/>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10.xml><?xml version="1.0" encoding="utf-8"?>
<worksheet xmlns="http://schemas.openxmlformats.org/spreadsheetml/2006/main" xmlns:r="http://schemas.openxmlformats.org/officeDocument/2006/relationships">
  <sheetPr filterMode="false">
    <tabColor rgb="FF92D050"/>
    <pageSetUpPr fitToPage="false"/>
  </sheetPr>
  <dimension ref="A1:H54"/>
  <sheetViews>
    <sheetView windowProtection="false" showFormulas="false" showGridLines="true" showRowColHeaders="true" showZeros="true" rightToLeft="false" tabSelected="false" showOutlineSymbols="true" defaultGridColor="true" view="normal" topLeftCell="A46" colorId="64" zoomScale="100" zoomScaleNormal="100" zoomScalePageLayoutView="100" workbookViewId="0">
      <selection pane="topLeft" activeCell="G40" activeCellId="0" sqref="G40"/>
    </sheetView>
  </sheetViews>
  <sheetFormatPr defaultRowHeight="13.5"/>
  <cols>
    <col collapsed="false" hidden="false" max="1" min="1" style="73" width="26.7295918367347"/>
    <col collapsed="false" hidden="false" max="7" min="2" style="73" width="14.1734693877551"/>
    <col collapsed="false" hidden="false" max="8" min="8" style="73" width="18.8979591836735"/>
    <col collapsed="false" hidden="false" max="1025" min="9" style="73" width="11.2040816326531"/>
  </cols>
  <sheetData>
    <row r="1" customFormat="false" ht="13.5" hidden="false" customHeight="false" outlineLevel="0" collapsed="false">
      <c r="A1" s="83" t="str">
        <f aca="false">'0.DADES'!D2</f>
        <v>Andratx</v>
      </c>
      <c r="H1" s="104" t="s">
        <v>166</v>
      </c>
    </row>
    <row r="2" customFormat="false" ht="13.5" hidden="false" customHeight="false" outlineLevel="0" collapsed="false">
      <c r="H2" s="107" t="s">
        <v>167</v>
      </c>
    </row>
    <row r="3" customFormat="false" ht="24" hidden="false" customHeight="false" outlineLevel="0" collapsed="false">
      <c r="A3" s="103" t="s">
        <v>168</v>
      </c>
      <c r="B3" s="77" t="s">
        <v>38</v>
      </c>
      <c r="C3" s="77"/>
      <c r="D3" s="77"/>
      <c r="E3" s="77"/>
      <c r="F3" s="77"/>
      <c r="G3" s="77"/>
      <c r="H3" s="108" t="s">
        <v>170</v>
      </c>
    </row>
    <row r="6" customFormat="false" ht="21.75" hidden="false" customHeight="true" outlineLevel="0" collapsed="false">
      <c r="A6" s="83" t="s">
        <v>274</v>
      </c>
      <c r="B6" s="113" t="s">
        <v>216</v>
      </c>
    </row>
    <row r="7" customFormat="false" ht="21.75" hidden="false" customHeight="true" outlineLevel="0" collapsed="false">
      <c r="A7" s="75" t="s">
        <v>31</v>
      </c>
      <c r="B7" s="95" t="n">
        <f aca="false">'0.DADES'!D8</f>
        <v>2005</v>
      </c>
      <c r="C7" s="95" t="n">
        <f aca="false">'0.DADES'!E8</f>
        <v>2006</v>
      </c>
      <c r="D7" s="95" t="n">
        <f aca="false">'0.DADES'!F8</f>
        <v>2007</v>
      </c>
      <c r="E7" s="95" t="n">
        <f aca="false">'0.DADES'!G8</f>
        <v>2008</v>
      </c>
      <c r="F7" s="95" t="n">
        <f aca="false">'0.DADES'!H8</f>
        <v>2009</v>
      </c>
      <c r="G7" s="95" t="n">
        <f aca="false">'0.DADES'!I8</f>
        <v>2010</v>
      </c>
    </row>
    <row r="8" customFormat="false" ht="21.75" hidden="false" customHeight="true" outlineLevel="0" collapsed="false">
      <c r="A8" s="114" t="s">
        <v>275</v>
      </c>
      <c r="B8" s="123" t="n">
        <v>1211031</v>
      </c>
      <c r="C8" s="123" t="n">
        <v>1342384</v>
      </c>
      <c r="D8" s="123" t="n">
        <v>1359954</v>
      </c>
      <c r="E8" s="123" t="n">
        <v>1436430</v>
      </c>
      <c r="F8" s="123" t="n">
        <v>1435784</v>
      </c>
      <c r="G8" s="124" t="n">
        <v>1429273</v>
      </c>
    </row>
    <row r="9" customFormat="false" ht="21.75" hidden="false" customHeight="true" outlineLevel="0" collapsed="false">
      <c r="A9" s="114" t="s">
        <v>276</v>
      </c>
      <c r="B9" s="123" t="n">
        <v>932324</v>
      </c>
      <c r="C9" s="123" t="n">
        <v>971304</v>
      </c>
      <c r="D9" s="123" t="n">
        <v>970410</v>
      </c>
      <c r="E9" s="123" t="n">
        <v>973736</v>
      </c>
      <c r="F9" s="123" t="n">
        <v>972584</v>
      </c>
      <c r="G9" s="124" t="n">
        <v>968173</v>
      </c>
    </row>
    <row r="10" customFormat="false" ht="21.75" hidden="false" customHeight="true" outlineLevel="0" collapsed="false">
      <c r="A10" s="114" t="s">
        <v>277</v>
      </c>
      <c r="B10" s="123" t="n">
        <f aca="false">B8-B9</f>
        <v>278707</v>
      </c>
      <c r="C10" s="123" t="n">
        <f aca="false">C8-C9</f>
        <v>371080</v>
      </c>
      <c r="D10" s="123" t="n">
        <f aca="false">D8-D9</f>
        <v>389544</v>
      </c>
      <c r="E10" s="123" t="n">
        <f aca="false">E8-E9</f>
        <v>462694</v>
      </c>
      <c r="F10" s="123" t="n">
        <f aca="false">F8-F9</f>
        <v>463200</v>
      </c>
      <c r="G10" s="124" t="n">
        <f aca="false">G8-G9</f>
        <v>461100</v>
      </c>
    </row>
    <row r="11" customFormat="false" ht="21.75" hidden="false" customHeight="true" outlineLevel="0" collapsed="false">
      <c r="A11" s="114" t="s">
        <v>278</v>
      </c>
      <c r="B11" s="170" t="n">
        <f aca="false">B10/B8</f>
        <v>0.230140268911366</v>
      </c>
      <c r="C11" s="170" t="n">
        <f aca="false">C10/C8</f>
        <v>0.276433568934075</v>
      </c>
      <c r="D11" s="170" t="n">
        <f aca="false">D10/D8</f>
        <v>0.286439100146034</v>
      </c>
      <c r="E11" s="170" t="n">
        <f aca="false">E10/E8</f>
        <v>0.322113851701788</v>
      </c>
      <c r="F11" s="170" t="n">
        <f aca="false">F10/F8</f>
        <v>0.322611200570559</v>
      </c>
      <c r="G11" s="171" t="n">
        <f aca="false">G10/G8</f>
        <v>0.322611565460202</v>
      </c>
    </row>
    <row r="12" customFormat="false" ht="21.75" hidden="false" customHeight="true" outlineLevel="0" collapsed="false">
      <c r="A12" s="121" t="s">
        <v>176</v>
      </c>
      <c r="B12" s="115" t="n">
        <f aca="false">SUM(B8:B11)</f>
        <v>2422062.23014027</v>
      </c>
      <c r="C12" s="115" t="n">
        <f aca="false">SUM(C8:C11)</f>
        <v>2684768.27643357</v>
      </c>
      <c r="D12" s="115" t="n">
        <f aca="false">SUM(D8:D11)</f>
        <v>2719908.2864391</v>
      </c>
      <c r="E12" s="115" t="n">
        <f aca="false">SUM(E8:E11)</f>
        <v>2872860.32211385</v>
      </c>
      <c r="F12" s="115" t="n">
        <f aca="false">SUM(F8:F11)</f>
        <v>2871568.3226112</v>
      </c>
      <c r="G12" s="115" t="n">
        <f aca="false">SUM(G8:G11)</f>
        <v>2858546.32261157</v>
      </c>
    </row>
    <row r="13" customFormat="false" ht="18.75" hidden="false" customHeight="true" outlineLevel="0" collapsed="false">
      <c r="A13" s="127"/>
      <c r="B13" s="1"/>
      <c r="C13" s="1"/>
      <c r="D13" s="1"/>
      <c r="E13" s="1"/>
      <c r="F13" s="1"/>
      <c r="G13" s="1"/>
    </row>
    <row r="14" customFormat="false" ht="21.75" hidden="false" customHeight="true" outlineLevel="0" collapsed="false">
      <c r="A14" s="172" t="s">
        <v>279</v>
      </c>
      <c r="B14" s="173" t="n">
        <f aca="false">'0.DADES'!D37</f>
        <v>2005</v>
      </c>
      <c r="C14" s="173" t="n">
        <f aca="false">'0.DADES'!E37</f>
        <v>2006</v>
      </c>
      <c r="D14" s="173" t="n">
        <f aca="false">'0.DADES'!F37</f>
        <v>2007</v>
      </c>
      <c r="E14" s="173" t="n">
        <f aca="false">'0.DADES'!G37</f>
        <v>2008</v>
      </c>
      <c r="F14" s="173" t="n">
        <f aca="false">'0.DADES'!H37</f>
        <v>2009</v>
      </c>
      <c r="G14" s="173" t="n">
        <f aca="false">'0.DADES'!I37</f>
        <v>2010</v>
      </c>
    </row>
    <row r="15" customFormat="false" ht="21.75" hidden="false" customHeight="true" outlineLevel="0" collapsed="false">
      <c r="A15" s="114" t="s">
        <v>280</v>
      </c>
      <c r="B15" s="153"/>
      <c r="C15" s="153"/>
      <c r="D15" s="153"/>
      <c r="E15" s="153"/>
      <c r="F15" s="153"/>
      <c r="G15" s="153"/>
    </row>
    <row r="16" customFormat="false" ht="14.25" hidden="false" customHeight="true" outlineLevel="0" collapsed="false">
      <c r="A16" s="127"/>
      <c r="B16" s="1"/>
      <c r="C16" s="1"/>
      <c r="D16" s="1"/>
      <c r="E16" s="1"/>
      <c r="F16" s="1"/>
      <c r="G16" s="1"/>
    </row>
    <row r="17" customFormat="false" ht="11.25" hidden="false" customHeight="true" outlineLevel="0" collapsed="false">
      <c r="A17" s="83"/>
      <c r="B17" s="113" t="s">
        <v>281</v>
      </c>
    </row>
    <row r="18" customFormat="false" ht="21.75" hidden="false" customHeight="true" outlineLevel="0" collapsed="false">
      <c r="A18" s="75" t="s">
        <v>31</v>
      </c>
      <c r="B18" s="95" t="n">
        <f aca="false">'0.DADES'!D37</f>
        <v>2005</v>
      </c>
      <c r="C18" s="95" t="n">
        <f aca="false">'0.DADES'!E37</f>
        <v>2006</v>
      </c>
      <c r="D18" s="95" t="n">
        <f aca="false">'0.DADES'!F37</f>
        <v>2007</v>
      </c>
      <c r="E18" s="95" t="n">
        <f aca="false">'0.DADES'!G37</f>
        <v>2008</v>
      </c>
      <c r="F18" s="95" t="n">
        <f aca="false">'0.DADES'!H37</f>
        <v>2009</v>
      </c>
      <c r="G18" s="95" t="n">
        <f aca="false">'0.DADES'!I37</f>
        <v>2010</v>
      </c>
    </row>
    <row r="19" customFormat="false" ht="21.75" hidden="false" customHeight="true" outlineLevel="0" collapsed="false">
      <c r="A19" s="114" t="s">
        <v>282</v>
      </c>
      <c r="B19" s="99" t="n">
        <f aca="false">B8*B15/1000</f>
        <v>0</v>
      </c>
      <c r="C19" s="99" t="n">
        <f aca="false">C8*C15/1000</f>
        <v>0</v>
      </c>
      <c r="D19" s="99" t="n">
        <f aca="false">D8*D15/1000</f>
        <v>0</v>
      </c>
      <c r="E19" s="99" t="n">
        <f aca="false">E8*E15/1000</f>
        <v>0</v>
      </c>
      <c r="F19" s="99" t="n">
        <f aca="false">F8*F15/1000</f>
        <v>0</v>
      </c>
      <c r="G19" s="99" t="n">
        <f aca="false">G8*G15/1000</f>
        <v>0</v>
      </c>
    </row>
    <row r="20" customFormat="false" ht="21.75" hidden="false" customHeight="true" outlineLevel="0" collapsed="false">
      <c r="A20" s="121" t="s">
        <v>176</v>
      </c>
      <c r="B20" s="99" t="n">
        <f aca="false">SUM(B19:B19)</f>
        <v>0</v>
      </c>
      <c r="C20" s="99" t="n">
        <f aca="false">SUM(C19:C19)</f>
        <v>0</v>
      </c>
      <c r="D20" s="99" t="n">
        <f aca="false">SUM(D19:D19)</f>
        <v>0</v>
      </c>
      <c r="E20" s="99" t="n">
        <f aca="false">SUM(E19:E19)</f>
        <v>0</v>
      </c>
      <c r="F20" s="99" t="n">
        <f aca="false">SUM(F19:F19)</f>
        <v>0</v>
      </c>
      <c r="G20" s="99" t="n">
        <f aca="false">SUM(G19:G19)</f>
        <v>0</v>
      </c>
    </row>
    <row r="21" customFormat="false" ht="21.75" hidden="false" customHeight="true" outlineLevel="0" collapsed="false"/>
    <row r="22" customFormat="false" ht="13.5" hidden="false" customHeight="false" outlineLevel="0" collapsed="false">
      <c r="A22" s="83" t="s">
        <v>283</v>
      </c>
      <c r="B22" s="113" t="s">
        <v>281</v>
      </c>
    </row>
    <row r="23" customFormat="false" ht="13.5" hidden="false" customHeight="false" outlineLevel="0" collapsed="false">
      <c r="A23" s="75" t="s">
        <v>31</v>
      </c>
      <c r="B23" s="95" t="n">
        <v>2005</v>
      </c>
      <c r="C23" s="95" t="n">
        <v>2006</v>
      </c>
      <c r="D23" s="95" t="n">
        <v>207</v>
      </c>
      <c r="E23" s="95" t="n">
        <v>2008</v>
      </c>
      <c r="F23" s="95" t="n">
        <v>2009</v>
      </c>
      <c r="G23" s="95" t="n">
        <v>2010</v>
      </c>
    </row>
    <row r="24" customFormat="false" ht="13.5" hidden="false" customHeight="false" outlineLevel="0" collapsed="false">
      <c r="A24" s="114" t="s">
        <v>284</v>
      </c>
      <c r="B24" s="154" t="n">
        <f aca="false">B8*4.65/1000</f>
        <v>5631.29415</v>
      </c>
      <c r="C24" s="154" t="n">
        <f aca="false">C8*4.68/1000</f>
        <v>6282.35712</v>
      </c>
      <c r="D24" s="154" t="n">
        <f aca="false">D8*4.69/1000</f>
        <v>6378.18426</v>
      </c>
      <c r="E24" s="154" t="n">
        <f aca="false">E8*4.66/1000</f>
        <v>6693.7638</v>
      </c>
      <c r="F24" s="154" t="n">
        <f aca="false">F8*4.8/1000</f>
        <v>6891.7632</v>
      </c>
      <c r="G24" s="154" t="n">
        <f aca="false">G8*2.81/1000</f>
        <v>4016.25713</v>
      </c>
    </row>
    <row r="25" customFormat="false" ht="13.5" hidden="false" customHeight="false" outlineLevel="0" collapsed="false">
      <c r="A25" s="121" t="s">
        <v>176</v>
      </c>
      <c r="B25" s="102" t="n">
        <f aca="false">SUM(B24:B24)</f>
        <v>5631.29415</v>
      </c>
      <c r="C25" s="99" t="n">
        <f aca="false">SUM(C24:C24)</f>
        <v>6282.35712</v>
      </c>
      <c r="D25" s="99" t="n">
        <f aca="false">SUM(D24:D24)</f>
        <v>6378.18426</v>
      </c>
      <c r="E25" s="99" t="n">
        <f aca="false">SUM(E24:E24)</f>
        <v>6693.7638</v>
      </c>
      <c r="F25" s="99" t="n">
        <f aca="false">SUM(F24:F24)</f>
        <v>6891.7632</v>
      </c>
      <c r="G25" s="99" t="n">
        <f aca="false">SUM(G24:G24)</f>
        <v>4016.25713</v>
      </c>
    </row>
    <row r="27" customFormat="false" ht="13.5" hidden="false" customHeight="false" outlineLevel="0" collapsed="false">
      <c r="A27" s="83"/>
    </row>
    <row r="28" customFormat="false" ht="13.5" hidden="false" customHeight="false" outlineLevel="0" collapsed="false">
      <c r="A28" s="83" t="s">
        <v>285</v>
      </c>
      <c r="B28" s="113" t="s">
        <v>216</v>
      </c>
    </row>
    <row r="29" customFormat="false" ht="13.5" hidden="false" customHeight="false" outlineLevel="0" collapsed="false">
      <c r="A29" s="75" t="s">
        <v>31</v>
      </c>
      <c r="B29" s="95" t="n">
        <f aca="false">B7</f>
        <v>2005</v>
      </c>
      <c r="C29" s="95" t="n">
        <f aca="false">C7</f>
        <v>2006</v>
      </c>
      <c r="D29" s="95" t="n">
        <f aca="false">D7</f>
        <v>2007</v>
      </c>
      <c r="E29" s="95" t="n">
        <f aca="false">E7</f>
        <v>2008</v>
      </c>
      <c r="F29" s="95" t="n">
        <f aca="false">F7</f>
        <v>2009</v>
      </c>
      <c r="G29" s="95" t="n">
        <f aca="false">G7</f>
        <v>2010</v>
      </c>
    </row>
    <row r="30" customFormat="false" ht="13.5" hidden="false" customHeight="false" outlineLevel="0" collapsed="false">
      <c r="A30" s="114" t="s">
        <v>286</v>
      </c>
      <c r="B30" s="123" t="n">
        <v>675231</v>
      </c>
      <c r="C30" s="123" t="n">
        <v>728621</v>
      </c>
      <c r="D30" s="123" t="n">
        <v>726673</v>
      </c>
      <c r="E30" s="123" t="n">
        <v>764090</v>
      </c>
      <c r="F30" s="123" t="n">
        <v>800072</v>
      </c>
      <c r="G30" s="123" t="n">
        <v>1006811</v>
      </c>
    </row>
    <row r="31" customFormat="false" ht="13.5" hidden="false" customHeight="false" outlineLevel="0" collapsed="false">
      <c r="A31" s="121" t="s">
        <v>176</v>
      </c>
      <c r="B31" s="115" t="n">
        <f aca="false">SUM(B30:B30)</f>
        <v>675231</v>
      </c>
      <c r="C31" s="115" t="n">
        <f aca="false">SUM(C30:C30)</f>
        <v>728621</v>
      </c>
      <c r="D31" s="115" t="n">
        <f aca="false">SUM(D30:D30)</f>
        <v>726673</v>
      </c>
      <c r="E31" s="115" t="n">
        <f aca="false">SUM(E30:E30)</f>
        <v>764090</v>
      </c>
      <c r="F31" s="115" t="n">
        <f aca="false">SUM(F30:F30)</f>
        <v>800072</v>
      </c>
      <c r="G31" s="115" t="n">
        <f aca="false">SUM(G30:G30)</f>
        <v>1006811</v>
      </c>
    </row>
    <row r="33" customFormat="false" ht="13.5" hidden="false" customHeight="false" outlineLevel="0" collapsed="false">
      <c r="A33" s="127"/>
      <c r="B33" s="174" t="n">
        <f aca="false">'0.DADES'!D37</f>
        <v>2005</v>
      </c>
      <c r="C33" s="174" t="n">
        <f aca="false">'0.DADES'!E37</f>
        <v>2006</v>
      </c>
      <c r="D33" s="174" t="n">
        <f aca="false">'0.DADES'!F37</f>
        <v>2007</v>
      </c>
      <c r="E33" s="174" t="n">
        <f aca="false">'0.DADES'!G37</f>
        <v>2008</v>
      </c>
      <c r="F33" s="174" t="n">
        <f aca="false">'0.DADES'!H37</f>
        <v>2009</v>
      </c>
      <c r="G33" s="174" t="n">
        <f aca="false">'0.DADES'!I37</f>
        <v>2010</v>
      </c>
    </row>
    <row r="34" customFormat="false" ht="21.75" hidden="false" customHeight="true" outlineLevel="0" collapsed="false">
      <c r="A34" s="114" t="s">
        <v>280</v>
      </c>
      <c r="B34" s="154" t="n">
        <v>0.54</v>
      </c>
      <c r="C34" s="154" t="n">
        <v>0.54</v>
      </c>
      <c r="D34" s="154" t="n">
        <v>0.54</v>
      </c>
      <c r="E34" s="154" t="n">
        <v>0.54</v>
      </c>
      <c r="F34" s="154" t="n">
        <v>0.54</v>
      </c>
      <c r="G34" s="154" t="n">
        <v>0.54</v>
      </c>
    </row>
    <row r="35" customFormat="false" ht="16.5" hidden="false" customHeight="true" outlineLevel="0" collapsed="false"/>
    <row r="36" customFormat="false" ht="14.25" hidden="false" customHeight="true" outlineLevel="0" collapsed="false">
      <c r="A36" s="83"/>
      <c r="B36" s="113" t="s">
        <v>281</v>
      </c>
    </row>
    <row r="37" customFormat="false" ht="21.75" hidden="false" customHeight="true" outlineLevel="0" collapsed="false">
      <c r="A37" s="75" t="s">
        <v>287</v>
      </c>
      <c r="B37" s="95" t="n">
        <v>2005</v>
      </c>
      <c r="C37" s="95" t="n">
        <v>2006</v>
      </c>
      <c r="D37" s="95" t="n">
        <v>2007</v>
      </c>
      <c r="E37" s="95" t="n">
        <v>2008</v>
      </c>
      <c r="F37" s="95" t="n">
        <v>2009</v>
      </c>
      <c r="G37" s="95" t="n">
        <v>2010</v>
      </c>
    </row>
    <row r="38" customFormat="false" ht="21.75" hidden="false" customHeight="true" outlineLevel="0" collapsed="false">
      <c r="A38" s="121" t="s">
        <v>176</v>
      </c>
      <c r="B38" s="102" t="n">
        <f aca="false">B30*B34/1000</f>
        <v>364.62474</v>
      </c>
      <c r="C38" s="102" t="n">
        <f aca="false">C30*C34/1000</f>
        <v>393.45534</v>
      </c>
      <c r="D38" s="102" t="n">
        <f aca="false">D30*D34/1000</f>
        <v>392.40342</v>
      </c>
      <c r="E38" s="102" t="n">
        <f aca="false">E30*E34/1000</f>
        <v>412.6086</v>
      </c>
      <c r="F38" s="102" t="n">
        <f aca="false">F30*F34/1000</f>
        <v>432.03888</v>
      </c>
      <c r="G38" s="102" t="n">
        <f aca="false">G30*G34/1000</f>
        <v>543.67794</v>
      </c>
    </row>
    <row r="39" customFormat="false" ht="21.75" hidden="false" customHeight="true" outlineLevel="0" collapsed="false"/>
    <row r="40" customFormat="false" ht="21.75" hidden="false" customHeight="true" outlineLevel="0" collapsed="false">
      <c r="A40" s="73" t="s">
        <v>288</v>
      </c>
      <c r="B40" s="113" t="s">
        <v>281</v>
      </c>
    </row>
    <row r="41" customFormat="false" ht="21.75" hidden="false" customHeight="true" outlineLevel="0" collapsed="false">
      <c r="A41" s="114" t="s">
        <v>289</v>
      </c>
      <c r="B41" s="95" t="n">
        <f aca="false">B37</f>
        <v>2005</v>
      </c>
      <c r="C41" s="95" t="n">
        <f aca="false">C37</f>
        <v>2006</v>
      </c>
      <c r="D41" s="95" t="n">
        <f aca="false">D37</f>
        <v>2007</v>
      </c>
      <c r="E41" s="95" t="n">
        <f aca="false">E37</f>
        <v>2008</v>
      </c>
      <c r="F41" s="95" t="n">
        <f aca="false">F37</f>
        <v>2009</v>
      </c>
      <c r="G41" s="95" t="n">
        <f aca="false">G37</f>
        <v>2010</v>
      </c>
    </row>
    <row r="42" customFormat="false" ht="21.75" hidden="false" customHeight="true" outlineLevel="0" collapsed="false">
      <c r="A42" s="175" t="s">
        <v>160</v>
      </c>
      <c r="B42" s="102" t="n">
        <f aca="false">B20</f>
        <v>0</v>
      </c>
      <c r="C42" s="102" t="n">
        <f aca="false">C20</f>
        <v>0</v>
      </c>
      <c r="D42" s="102" t="n">
        <f aca="false">D20</f>
        <v>0</v>
      </c>
      <c r="E42" s="102" t="n">
        <f aca="false">E20</f>
        <v>0</v>
      </c>
      <c r="F42" s="102" t="n">
        <f aca="false">F20</f>
        <v>0</v>
      </c>
      <c r="G42" s="102" t="n">
        <f aca="false">G20</f>
        <v>0</v>
      </c>
    </row>
    <row r="43" customFormat="false" ht="21.75" hidden="false" customHeight="true" outlineLevel="0" collapsed="false">
      <c r="A43" s="175" t="s">
        <v>290</v>
      </c>
      <c r="B43" s="102" t="n">
        <f aca="false">B25</f>
        <v>5631.29415</v>
      </c>
      <c r="C43" s="102" t="n">
        <f aca="false">C25</f>
        <v>6282.35712</v>
      </c>
      <c r="D43" s="102" t="n">
        <f aca="false">D25</f>
        <v>6378.18426</v>
      </c>
      <c r="E43" s="102" t="n">
        <f aca="false">E25</f>
        <v>6693.7638</v>
      </c>
      <c r="F43" s="102" t="n">
        <f aca="false">F25</f>
        <v>6891.7632</v>
      </c>
      <c r="G43" s="102" t="n">
        <f aca="false">G25</f>
        <v>4016.25713</v>
      </c>
    </row>
    <row r="44" customFormat="false" ht="21.75" hidden="false" customHeight="true" outlineLevel="0" collapsed="false">
      <c r="A44" s="175" t="s">
        <v>291</v>
      </c>
      <c r="B44" s="102" t="n">
        <f aca="false">B38</f>
        <v>364.62474</v>
      </c>
      <c r="C44" s="102" t="n">
        <f aca="false">C38</f>
        <v>393.45534</v>
      </c>
      <c r="D44" s="102" t="n">
        <f aca="false">D38</f>
        <v>392.40342</v>
      </c>
      <c r="E44" s="102" t="n">
        <f aca="false">E38</f>
        <v>412.6086</v>
      </c>
      <c r="F44" s="102" t="n">
        <f aca="false">F38</f>
        <v>432.03888</v>
      </c>
      <c r="G44" s="102" t="n">
        <f aca="false">G38</f>
        <v>543.67794</v>
      </c>
    </row>
    <row r="45" customFormat="false" ht="21.75" hidden="false" customHeight="true" outlineLevel="0" collapsed="false">
      <c r="A45" s="175" t="s">
        <v>292</v>
      </c>
      <c r="B45" s="102" t="n">
        <f aca="false">SUM(B42:B44)</f>
        <v>5995.91889</v>
      </c>
      <c r="C45" s="102" t="n">
        <f aca="false">SUM(C42:C44)</f>
        <v>6675.81246</v>
      </c>
      <c r="D45" s="102" t="n">
        <f aca="false">SUM(D42:D44)</f>
        <v>6770.58768</v>
      </c>
      <c r="E45" s="102" t="n">
        <f aca="false">SUM(E42:E44)</f>
        <v>7106.3724</v>
      </c>
      <c r="F45" s="102" t="n">
        <f aca="false">SUM(F42:F44)</f>
        <v>7323.80208</v>
      </c>
      <c r="G45" s="102" t="n">
        <f aca="false">SUM(G42:G44)</f>
        <v>4559.93507</v>
      </c>
    </row>
    <row r="46" customFormat="false" ht="21.75" hidden="false" customHeight="true" outlineLevel="0" collapsed="false">
      <c r="A46" s="83" t="s">
        <v>183</v>
      </c>
      <c r="B46" s="113" t="s">
        <v>184</v>
      </c>
    </row>
    <row r="47" customFormat="false" ht="13.5" hidden="false" customHeight="false" outlineLevel="0" collapsed="false">
      <c r="A47" s="127"/>
      <c r="B47" s="95" t="n">
        <v>2005</v>
      </c>
      <c r="C47" s="95" t="n">
        <v>2006</v>
      </c>
      <c r="D47" s="95" t="n">
        <v>207</v>
      </c>
      <c r="E47" s="95" t="n">
        <v>2008</v>
      </c>
      <c r="F47" s="95" t="n">
        <v>2009</v>
      </c>
      <c r="G47" s="95" t="n">
        <v>2010</v>
      </c>
    </row>
    <row r="48" customFormat="false" ht="21.75" hidden="false" customHeight="true" outlineLevel="0" collapsed="false">
      <c r="A48" s="114" t="s">
        <v>293</v>
      </c>
      <c r="B48" s="102" t="n">
        <f aca="false">'0.DADES'!D39</f>
        <v>0.8438</v>
      </c>
      <c r="C48" s="102" t="n">
        <f aca="false">'0.DADES'!E39</f>
        <v>0.9084</v>
      </c>
      <c r="D48" s="102" t="n">
        <f aca="false">'0.DADES'!F39</f>
        <v>0.8211</v>
      </c>
      <c r="E48" s="102" t="n">
        <f aca="false">'0.DADES'!G39</f>
        <v>0.8272</v>
      </c>
      <c r="F48" s="102" t="n">
        <f aca="false">'0.DADES'!H39</f>
        <v>0.8481</v>
      </c>
      <c r="G48" s="102" t="n">
        <f aca="false">'0.DADES'!I39</f>
        <v>0.8481</v>
      </c>
    </row>
    <row r="49" customFormat="false" ht="21.75" hidden="false" customHeight="true" outlineLevel="0" collapsed="false">
      <c r="A49" s="83"/>
    </row>
    <row r="50" customFormat="false" ht="21.75" hidden="false" customHeight="true" outlineLevel="0" collapsed="false">
      <c r="A50" s="114" t="s">
        <v>294</v>
      </c>
      <c r="B50" s="99" t="n">
        <f aca="false">B29</f>
        <v>2005</v>
      </c>
      <c r="C50" s="99" t="n">
        <f aca="false">C29</f>
        <v>2006</v>
      </c>
      <c r="D50" s="99" t="n">
        <f aca="false">D29</f>
        <v>2007</v>
      </c>
      <c r="E50" s="99" t="n">
        <f aca="false">E29</f>
        <v>2008</v>
      </c>
      <c r="F50" s="99" t="n">
        <f aca="false">F29</f>
        <v>2009</v>
      </c>
      <c r="G50" s="99" t="n">
        <f aca="false">G29</f>
        <v>2010</v>
      </c>
    </row>
    <row r="51" customFormat="false" ht="21.75" hidden="false" customHeight="true" outlineLevel="0" collapsed="false">
      <c r="A51" s="175" t="s">
        <v>160</v>
      </c>
      <c r="B51" s="102" t="n">
        <f aca="false">B20*B48</f>
        <v>0</v>
      </c>
      <c r="C51" s="102" t="n">
        <f aca="false">C20*C48</f>
        <v>0</v>
      </c>
      <c r="D51" s="102" t="n">
        <f aca="false">D20*D48</f>
        <v>0</v>
      </c>
      <c r="E51" s="102" t="n">
        <f aca="false">E20*E48</f>
        <v>0</v>
      </c>
      <c r="F51" s="102" t="n">
        <f aca="false">F20*F48</f>
        <v>0</v>
      </c>
      <c r="G51" s="102" t="n">
        <f aca="false">G20*G48</f>
        <v>0</v>
      </c>
    </row>
    <row r="52" customFormat="false" ht="21.75" hidden="false" customHeight="true" outlineLevel="0" collapsed="false">
      <c r="A52" s="175" t="s">
        <v>290</v>
      </c>
      <c r="B52" s="102" t="n">
        <f aca="false">B25*B48</f>
        <v>4751.68600377</v>
      </c>
      <c r="C52" s="102" t="n">
        <f aca="false">C25*C48</f>
        <v>5706.893207808</v>
      </c>
      <c r="D52" s="102" t="n">
        <f aca="false">D25*D48</f>
        <v>5237.127095886</v>
      </c>
      <c r="E52" s="102" t="n">
        <f aca="false">E25*E48</f>
        <v>5537.08141536</v>
      </c>
      <c r="F52" s="102" t="n">
        <f aca="false">F25*F48</f>
        <v>5844.90436992</v>
      </c>
      <c r="G52" s="102" t="n">
        <f aca="false">G25*G48</f>
        <v>3406.187671953</v>
      </c>
    </row>
    <row r="53" customFormat="false" ht="21.75" hidden="false" customHeight="true" outlineLevel="0" collapsed="false">
      <c r="A53" s="175" t="s">
        <v>291</v>
      </c>
      <c r="B53" s="102" t="n">
        <f aca="false">B38*B48</f>
        <v>307.670355612</v>
      </c>
      <c r="C53" s="102" t="n">
        <f aca="false">C38*C48</f>
        <v>357.414830856</v>
      </c>
      <c r="D53" s="102" t="n">
        <f aca="false">D38*D48</f>
        <v>322.202448162</v>
      </c>
      <c r="E53" s="102" t="n">
        <f aca="false">E38*E48</f>
        <v>341.30983392</v>
      </c>
      <c r="F53" s="102" t="n">
        <f aca="false">F38*F48</f>
        <v>366.412174128</v>
      </c>
      <c r="G53" s="102" t="n">
        <f aca="false">G38*G48</f>
        <v>461.093260914</v>
      </c>
    </row>
    <row r="54" customFormat="false" ht="21.75" hidden="false" customHeight="true" outlineLevel="0" collapsed="false">
      <c r="A54" s="175" t="s">
        <v>292</v>
      </c>
      <c r="B54" s="102" t="n">
        <f aca="false">SUM(B51:B53)</f>
        <v>5059.356359382</v>
      </c>
      <c r="C54" s="102" t="n">
        <f aca="false">SUM(C51:C53)</f>
        <v>6064.308038664</v>
      </c>
      <c r="D54" s="102" t="n">
        <f aca="false">SUM(D51:D53)</f>
        <v>5559.329544048</v>
      </c>
      <c r="E54" s="102" t="n">
        <f aca="false">SUM(E51:E53)</f>
        <v>5878.39124928</v>
      </c>
      <c r="F54" s="102" t="n">
        <f aca="false">SUM(F51:F53)</f>
        <v>6211.316544048</v>
      </c>
      <c r="G54" s="102" t="n">
        <f aca="false">SUM(G51:G53)</f>
        <v>3867.280932867</v>
      </c>
    </row>
  </sheetData>
  <mergeCells count="1">
    <mergeCell ref="B3:G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tabColor rgb="FF92D050"/>
    <pageSetUpPr fitToPage="false"/>
  </sheetPr>
  <dimension ref="A1:AM353"/>
  <sheetViews>
    <sheetView windowProtection="false"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40" activeCellId="0" sqref="G40"/>
    </sheetView>
  </sheetViews>
  <sheetFormatPr defaultRowHeight="13.5"/>
  <cols>
    <col collapsed="false" hidden="false" max="1" min="1" style="176" width="39.1479591836735"/>
    <col collapsed="false" hidden="false" max="2" min="2" style="176" width="14.7142857142857"/>
    <col collapsed="false" hidden="false" max="3" min="3" style="176" width="12.6887755102041"/>
    <col collapsed="false" hidden="false" max="4" min="4" style="176" width="14.7142857142857"/>
    <col collapsed="false" hidden="false" max="5" min="5" style="176" width="13.7704081632653"/>
    <col collapsed="false" hidden="false" max="9" min="6" style="176" width="14.7142857142857"/>
    <col collapsed="false" hidden="false" max="10" min="10" style="176" width="15.7959183673469"/>
    <col collapsed="false" hidden="false" max="11" min="11" style="176" width="15.3877551020408"/>
    <col collapsed="false" hidden="false" max="13" min="12" style="176" width="15.6581632653061"/>
    <col collapsed="false" hidden="false" max="14" min="14" style="176" width="14.8469387755102"/>
    <col collapsed="false" hidden="false" max="19" min="15" style="176" width="14.1734693877551"/>
    <col collapsed="false" hidden="false" max="20" min="20" style="176" width="22.8112244897959"/>
    <col collapsed="false" hidden="false" max="21" min="21" style="176" width="16.0663265306122"/>
    <col collapsed="false" hidden="false" max="31" min="22" style="176" width="14.1734693877551"/>
    <col collapsed="false" hidden="false" max="32" min="32" style="176" width="17.0102040816327"/>
    <col collapsed="false" hidden="false" max="33" min="33" style="176" width="12.9591836734694"/>
    <col collapsed="false" hidden="false" max="34" min="34" style="176" width="14.1734693877551"/>
    <col collapsed="false" hidden="false" max="35" min="35" style="176" width="12.8265306122449"/>
    <col collapsed="false" hidden="false" max="36" min="36" style="176" width="22.2755102040816"/>
    <col collapsed="false" hidden="false" max="37" min="37" style="176" width="31.7244897959184"/>
    <col collapsed="false" hidden="false" max="1025" min="38" style="176" width="14.1734693877551"/>
  </cols>
  <sheetData>
    <row r="1" s="73" customFormat="true" ht="13.5" hidden="false" customHeight="false" outlineLevel="0" collapsed="false">
      <c r="A1" s="83" t="str">
        <f aca="false">'0.DADES'!D2</f>
        <v>Andratx</v>
      </c>
      <c r="I1" s="177" t="s">
        <v>166</v>
      </c>
    </row>
    <row r="2" customFormat="false" ht="13.5" hidden="false" customHeight="false" outlineLevel="0" collapsed="false">
      <c r="B2" s="73"/>
      <c r="C2" s="73"/>
      <c r="D2" s="73"/>
      <c r="E2" s="73"/>
      <c r="F2" s="73"/>
      <c r="G2" s="73"/>
      <c r="H2" s="73"/>
      <c r="I2" s="107" t="s">
        <v>167</v>
      </c>
    </row>
    <row r="3" customFormat="false" ht="24" hidden="false" customHeight="false" outlineLevel="0" collapsed="false">
      <c r="A3" s="103" t="s">
        <v>168</v>
      </c>
      <c r="B3" s="77" t="s">
        <v>38</v>
      </c>
      <c r="C3" s="77"/>
      <c r="D3" s="77"/>
      <c r="E3" s="77"/>
      <c r="F3" s="77"/>
      <c r="G3" s="77"/>
      <c r="I3" s="108" t="s">
        <v>170</v>
      </c>
    </row>
    <row r="4" customFormat="false" ht="13.5" hidden="false" customHeight="false" outlineLevel="0" collapsed="false">
      <c r="L4" s="178"/>
      <c r="M4" s="178"/>
      <c r="N4" s="178"/>
      <c r="O4" s="178"/>
      <c r="P4" s="178"/>
    </row>
    <row r="5" customFormat="false" ht="13.5" hidden="false" customHeight="false" outlineLevel="0" collapsed="false">
      <c r="L5" s="178"/>
      <c r="M5" s="178"/>
      <c r="N5" s="178"/>
      <c r="O5" s="178"/>
      <c r="P5" s="178"/>
    </row>
    <row r="6" customFormat="false" ht="13.5" hidden="false" customHeight="false" outlineLevel="0" collapsed="false">
      <c r="A6" s="178"/>
      <c r="B6" s="179" t="n">
        <f aca="false">'0.DADES'!D8</f>
        <v>2005</v>
      </c>
      <c r="C6" s="179" t="n">
        <f aca="false">'0.DADES'!E8</f>
        <v>2006</v>
      </c>
      <c r="D6" s="179" t="n">
        <f aca="false">'0.DADES'!F8</f>
        <v>2007</v>
      </c>
      <c r="E6" s="179" t="n">
        <f aca="false">'0.DADES'!G8</f>
        <v>2008</v>
      </c>
      <c r="F6" s="179" t="n">
        <f aca="false">'0.DADES'!H8</f>
        <v>2009</v>
      </c>
      <c r="G6" s="179" t="n">
        <f aca="false">'0.DADES'!I8</f>
        <v>2010</v>
      </c>
      <c r="H6" s="179" t="s">
        <v>295</v>
      </c>
      <c r="I6" s="178"/>
      <c r="J6" s="178"/>
      <c r="K6" s="178"/>
      <c r="L6" s="178"/>
      <c r="M6" s="178"/>
      <c r="N6" s="178"/>
      <c r="O6" s="178"/>
      <c r="P6" s="178"/>
    </row>
    <row r="7" customFormat="false" ht="13.5" hidden="false" customHeight="false" outlineLevel="0" collapsed="false">
      <c r="A7" s="180" t="s">
        <v>296</v>
      </c>
      <c r="B7" s="153" t="n">
        <v>22</v>
      </c>
      <c r="C7" s="153" t="n">
        <v>23</v>
      </c>
      <c r="D7" s="153" t="n">
        <v>24</v>
      </c>
      <c r="E7" s="153" t="n">
        <v>24</v>
      </c>
      <c r="F7" s="153" t="n">
        <v>24</v>
      </c>
      <c r="G7" s="153" t="n">
        <v>24</v>
      </c>
      <c r="H7" s="179" t="n">
        <f aca="false">(F7-B7)/B7</f>
        <v>0.0909090909090909</v>
      </c>
      <c r="I7" s="178"/>
      <c r="J7" s="178"/>
      <c r="K7" s="178"/>
      <c r="L7" s="178"/>
      <c r="M7" s="178"/>
      <c r="N7" s="178"/>
      <c r="O7" s="178"/>
      <c r="P7" s="178"/>
    </row>
    <row r="8" customFormat="false" ht="13.5" hidden="false" customHeight="false" outlineLevel="0" collapsed="false">
      <c r="A8" s="180" t="s">
        <v>297</v>
      </c>
      <c r="B8" s="153" t="n">
        <v>0</v>
      </c>
      <c r="C8" s="153" t="n">
        <v>0</v>
      </c>
      <c r="D8" s="153" t="n">
        <v>0</v>
      </c>
      <c r="E8" s="153" t="n">
        <v>0</v>
      </c>
      <c r="F8" s="153" t="n">
        <v>0</v>
      </c>
      <c r="G8" s="153" t="n">
        <v>0</v>
      </c>
      <c r="H8" s="179" t="e">
        <f aca="false">(F8-B8)/B8</f>
        <v>#DIV/0!</v>
      </c>
      <c r="I8" s="178"/>
      <c r="J8" s="178"/>
      <c r="K8" s="178"/>
    </row>
    <row r="9" customFormat="false" ht="13.5" hidden="false" customHeight="false" outlineLevel="0" collapsed="false">
      <c r="A9" s="180" t="s">
        <v>298</v>
      </c>
      <c r="B9" s="153" t="n">
        <v>3</v>
      </c>
      <c r="C9" s="153" t="n">
        <v>3</v>
      </c>
      <c r="D9" s="153" t="n">
        <v>3</v>
      </c>
      <c r="E9" s="153" t="n">
        <v>3</v>
      </c>
      <c r="F9" s="153" t="n">
        <v>3</v>
      </c>
      <c r="G9" s="153" t="n">
        <v>3</v>
      </c>
      <c r="H9" s="179" t="n">
        <f aca="false">(F9-B9)/B9</f>
        <v>0</v>
      </c>
      <c r="I9" s="178"/>
      <c r="J9" s="178"/>
      <c r="K9" s="178"/>
    </row>
    <row r="10" customFormat="false" ht="13.5" hidden="false" customHeight="false" outlineLevel="0" collapsed="false">
      <c r="A10" s="180" t="s">
        <v>299</v>
      </c>
      <c r="B10" s="153" t="n">
        <v>0</v>
      </c>
      <c r="C10" s="153" t="n">
        <v>0</v>
      </c>
      <c r="D10" s="153" t="n">
        <v>0</v>
      </c>
      <c r="E10" s="153" t="n">
        <v>0</v>
      </c>
      <c r="F10" s="153" t="n">
        <v>0</v>
      </c>
      <c r="G10" s="153" t="n">
        <v>0</v>
      </c>
      <c r="H10" s="179" t="e">
        <f aca="false">(F10-B10)/B10</f>
        <v>#DIV/0!</v>
      </c>
      <c r="I10" s="178"/>
      <c r="J10" s="178"/>
      <c r="K10" s="178"/>
      <c r="L10" s="178"/>
      <c r="M10" s="178"/>
      <c r="N10" s="178"/>
      <c r="O10" s="178"/>
      <c r="P10" s="178"/>
    </row>
    <row r="11" customFormat="false" ht="13.5" hidden="false" customHeight="false" outlineLevel="0" collapsed="false">
      <c r="A11" s="180" t="s">
        <v>300</v>
      </c>
      <c r="B11" s="181" t="n">
        <f aca="false">H85+H115+H176+H237</f>
        <v>2408554.73488372</v>
      </c>
      <c r="C11" s="181" t="n">
        <f aca="false">I85+I115+I176+I237</f>
        <v>2295222.73488372</v>
      </c>
      <c r="D11" s="181" t="n">
        <f aca="false">J85+J115+J176+J237</f>
        <v>2344547.73488372</v>
      </c>
      <c r="E11" s="181" t="n">
        <f aca="false">K85+K115+K176+K237</f>
        <v>2335053.73488372</v>
      </c>
      <c r="F11" s="181" t="n">
        <f aca="false">L85+L115+L176+L237</f>
        <v>2280662.73488372</v>
      </c>
      <c r="G11" s="181" t="n">
        <f aca="false">M85+M115+M176+M237</f>
        <v>2212107.73488372</v>
      </c>
      <c r="H11" s="179" t="n">
        <f aca="false">(G11-B11)/B11</f>
        <v>-0.0815621904517291</v>
      </c>
      <c r="I11" s="178"/>
      <c r="J11" s="178"/>
      <c r="K11" s="178"/>
      <c r="L11" s="178"/>
      <c r="M11" s="178"/>
      <c r="N11" s="178"/>
      <c r="O11" s="178"/>
      <c r="P11" s="178"/>
    </row>
    <row r="12" customFormat="false" ht="13.5" hidden="false" customHeight="false" outlineLevel="0" collapsed="false">
      <c r="A12" s="180" t="s">
        <v>301</v>
      </c>
      <c r="B12" s="181" t="n">
        <f aca="false">N85+N115+N176+N237</f>
        <v>266643.72</v>
      </c>
      <c r="C12" s="181" t="n">
        <f aca="false">O85+O115+O176+O237</f>
        <v>258872.72</v>
      </c>
      <c r="D12" s="181" t="n">
        <f aca="false">P85+P115+P176+P237</f>
        <v>280388.85</v>
      </c>
      <c r="E12" s="181" t="n">
        <f aca="false">Q85+Q115+Q176+Q237</f>
        <v>296783.56</v>
      </c>
      <c r="F12" s="181" t="n">
        <f aca="false">R85+R115+R176+R237</f>
        <v>311325.14</v>
      </c>
      <c r="G12" s="181" t="n">
        <f aca="false">S85+S115+S176+S237</f>
        <v>346558.06</v>
      </c>
      <c r="H12" s="179" t="n">
        <f aca="false">(G12-B12)/B12</f>
        <v>0.299704564577782</v>
      </c>
      <c r="I12" s="178"/>
      <c r="J12" s="178"/>
      <c r="K12" s="178"/>
      <c r="L12" s="178"/>
      <c r="M12" s="178"/>
      <c r="N12" s="178"/>
      <c r="O12" s="178"/>
      <c r="P12" s="178"/>
    </row>
    <row r="13" customFormat="false" ht="13.5" hidden="false" customHeight="false" outlineLevel="0" collapsed="false">
      <c r="A13" s="180" t="s">
        <v>302</v>
      </c>
      <c r="B13" s="181" t="n">
        <f aca="false">B12/B11</f>
        <v>0.110706938122738</v>
      </c>
      <c r="C13" s="181" t="n">
        <f aca="false">C12/C11</f>
        <v>0.112787624514845</v>
      </c>
      <c r="D13" s="181" t="n">
        <f aca="false">D12/D11</f>
        <v>0.119591870887588</v>
      </c>
      <c r="E13" s="181" t="n">
        <f aca="false">E12/E11</f>
        <v>0.127099242114349</v>
      </c>
      <c r="F13" s="181" t="n">
        <f aca="false">F12/F11</f>
        <v>0.136506435273461</v>
      </c>
      <c r="G13" s="181" t="n">
        <f aca="false">G12/G11</f>
        <v>0.156664187071439</v>
      </c>
      <c r="H13" s="179"/>
      <c r="I13" s="178"/>
      <c r="J13" s="178"/>
      <c r="K13" s="178"/>
      <c r="L13" s="178"/>
      <c r="M13" s="178"/>
      <c r="N13" s="178"/>
      <c r="O13" s="178"/>
      <c r="P13" s="178"/>
    </row>
    <row r="16" customFormat="false" ht="13.5" hidden="false" customHeight="false" outlineLevel="0" collapsed="false">
      <c r="A16" s="182" t="s">
        <v>303</v>
      </c>
      <c r="B16" s="179" t="n">
        <f aca="false">B6</f>
        <v>2005</v>
      </c>
      <c r="C16" s="179" t="n">
        <f aca="false">C6</f>
        <v>2006</v>
      </c>
      <c r="D16" s="179" t="n">
        <f aca="false">D6</f>
        <v>2007</v>
      </c>
      <c r="E16" s="179" t="n">
        <f aca="false">E6</f>
        <v>2008</v>
      </c>
      <c r="F16" s="179" t="n">
        <f aca="false">F6</f>
        <v>2009</v>
      </c>
      <c r="G16" s="179" t="n">
        <f aca="false">G6</f>
        <v>2010</v>
      </c>
      <c r="H16" s="179" t="s">
        <v>295</v>
      </c>
    </row>
    <row r="17" customFormat="false" ht="13.5" hidden="false" customHeight="false" outlineLevel="0" collapsed="false">
      <c r="A17" s="180" t="s">
        <v>304</v>
      </c>
      <c r="B17" s="153" t="n">
        <v>2</v>
      </c>
      <c r="C17" s="153" t="n">
        <v>2</v>
      </c>
      <c r="D17" s="153" t="n">
        <v>2</v>
      </c>
      <c r="E17" s="153" t="n">
        <v>2</v>
      </c>
      <c r="F17" s="153" t="n">
        <v>2</v>
      </c>
      <c r="G17" s="153" t="n">
        <v>2</v>
      </c>
      <c r="H17" s="179" t="n">
        <f aca="false">(F17-B17)/B17</f>
        <v>0</v>
      </c>
    </row>
    <row r="18" customFormat="false" ht="13.5" hidden="false" customHeight="false" outlineLevel="0" collapsed="false">
      <c r="A18" s="180" t="s">
        <v>305</v>
      </c>
      <c r="B18" s="153" t="n">
        <v>6</v>
      </c>
      <c r="C18" s="153" t="n">
        <v>6</v>
      </c>
      <c r="D18" s="153" t="n">
        <v>6</v>
      </c>
      <c r="E18" s="153" t="n">
        <v>6</v>
      </c>
      <c r="F18" s="153" t="n">
        <v>6</v>
      </c>
      <c r="G18" s="153" t="n">
        <v>6</v>
      </c>
      <c r="H18" s="179" t="n">
        <f aca="false">(F18-B18)/B18</f>
        <v>0</v>
      </c>
    </row>
    <row r="19" customFormat="false" ht="13.5" hidden="false" customHeight="false" outlineLevel="0" collapsed="false">
      <c r="A19" s="180" t="s">
        <v>306</v>
      </c>
      <c r="B19" s="153" t="n">
        <v>2</v>
      </c>
      <c r="C19" s="153" t="n">
        <v>2</v>
      </c>
      <c r="D19" s="153" t="n">
        <v>2</v>
      </c>
      <c r="E19" s="153" t="n">
        <v>2</v>
      </c>
      <c r="F19" s="153" t="n">
        <v>2</v>
      </c>
      <c r="G19" s="153" t="n">
        <v>2</v>
      </c>
      <c r="H19" s="179" t="n">
        <f aca="false">(F19-B19)/B19</f>
        <v>0</v>
      </c>
    </row>
    <row r="20" customFormat="false" ht="13.5" hidden="false" customHeight="false" outlineLevel="0" collapsed="false">
      <c r="A20" s="180" t="s">
        <v>307</v>
      </c>
      <c r="B20" s="153" t="n">
        <v>2</v>
      </c>
      <c r="C20" s="153" t="n">
        <v>2</v>
      </c>
      <c r="D20" s="153" t="n">
        <v>2</v>
      </c>
      <c r="E20" s="153" t="n">
        <v>2</v>
      </c>
      <c r="F20" s="153" t="n">
        <v>2</v>
      </c>
      <c r="G20" s="153" t="n">
        <v>2</v>
      </c>
      <c r="H20" s="179" t="n">
        <f aca="false">(F20-B20)/B20</f>
        <v>0</v>
      </c>
      <c r="I20" s="183"/>
      <c r="J20" s="183"/>
      <c r="K20" s="183"/>
      <c r="M20" s="184" t="s">
        <v>308</v>
      </c>
      <c r="N20" s="184" t="s">
        <v>308</v>
      </c>
      <c r="O20" s="184" t="s">
        <v>308</v>
      </c>
      <c r="P20" s="184" t="s">
        <v>308</v>
      </c>
      <c r="Q20" s="184" t="s">
        <v>308</v>
      </c>
      <c r="S20" s="184" t="s">
        <v>309</v>
      </c>
      <c r="T20" s="184" t="s">
        <v>309</v>
      </c>
      <c r="U20" s="184" t="s">
        <v>309</v>
      </c>
      <c r="V20" s="184" t="s">
        <v>309</v>
      </c>
      <c r="W20" s="184" t="s">
        <v>309</v>
      </c>
      <c r="Y20" s="184" t="s">
        <v>310</v>
      </c>
      <c r="Z20" s="184" t="s">
        <v>53</v>
      </c>
      <c r="AA20" s="184" t="s">
        <v>53</v>
      </c>
      <c r="AB20" s="184" t="s">
        <v>53</v>
      </c>
      <c r="AC20" s="184" t="s">
        <v>53</v>
      </c>
      <c r="AD20" s="185"/>
      <c r="AE20" s="186"/>
      <c r="AG20" s="185"/>
    </row>
    <row r="21" customFormat="false" ht="13.5" hidden="false" customHeight="false" outlineLevel="0" collapsed="false">
      <c r="A21" s="180" t="s">
        <v>311</v>
      </c>
      <c r="B21" s="153" t="n">
        <v>8</v>
      </c>
      <c r="C21" s="153" t="n">
        <v>11</v>
      </c>
      <c r="D21" s="153" t="n">
        <v>11</v>
      </c>
      <c r="E21" s="153" t="n">
        <v>11</v>
      </c>
      <c r="F21" s="153" t="n">
        <v>11</v>
      </c>
      <c r="G21" s="153" t="n">
        <v>11</v>
      </c>
      <c r="H21" s="179" t="n">
        <f aca="false">(F21-B21)/B21</f>
        <v>0.375</v>
      </c>
      <c r="I21" s="183"/>
      <c r="J21" s="183"/>
      <c r="K21" s="183"/>
      <c r="M21" s="187"/>
      <c r="N21" s="187"/>
      <c r="O21" s="187"/>
      <c r="P21" s="187"/>
      <c r="Q21" s="187"/>
      <c r="S21" s="187"/>
      <c r="T21" s="187"/>
      <c r="U21" s="187"/>
      <c r="V21" s="187"/>
      <c r="W21" s="187"/>
      <c r="Y21" s="187"/>
      <c r="Z21" s="187"/>
      <c r="AA21" s="187"/>
      <c r="AB21" s="187"/>
      <c r="AC21" s="187"/>
      <c r="AD21" s="185"/>
      <c r="AE21" s="186"/>
      <c r="AF21" s="188"/>
      <c r="AG21" s="185"/>
    </row>
    <row r="22" customFormat="false" ht="13.5" hidden="false" customHeight="false" outlineLevel="0" collapsed="false">
      <c r="A22" s="180" t="s">
        <v>247</v>
      </c>
      <c r="B22" s="153" t="n">
        <v>2</v>
      </c>
      <c r="C22" s="153" t="n">
        <v>2</v>
      </c>
      <c r="D22" s="153" t="n">
        <v>2</v>
      </c>
      <c r="E22" s="153" t="n">
        <v>2</v>
      </c>
      <c r="F22" s="153" t="n">
        <v>2</v>
      </c>
      <c r="G22" s="153" t="n">
        <v>2</v>
      </c>
      <c r="H22" s="179" t="n">
        <f aca="false">(F22-B22)/B22</f>
        <v>0</v>
      </c>
      <c r="I22" s="183"/>
      <c r="J22" s="183"/>
      <c r="K22" s="183"/>
      <c r="M22" s="187"/>
      <c r="N22" s="187"/>
      <c r="O22" s="187"/>
      <c r="P22" s="187"/>
      <c r="Q22" s="187"/>
      <c r="S22" s="187"/>
      <c r="T22" s="187"/>
      <c r="U22" s="187"/>
      <c r="V22" s="187"/>
      <c r="W22" s="187"/>
      <c r="Y22" s="187"/>
      <c r="Z22" s="187"/>
      <c r="AA22" s="187"/>
      <c r="AB22" s="187"/>
      <c r="AC22" s="187"/>
      <c r="AD22" s="185"/>
      <c r="AE22" s="186"/>
      <c r="AF22" s="188"/>
      <c r="AG22" s="185"/>
    </row>
    <row r="23" customFormat="false" ht="13.5" hidden="false" customHeight="false" outlineLevel="0" collapsed="false">
      <c r="A23" s="189" t="s">
        <v>272</v>
      </c>
      <c r="B23" s="181" t="n">
        <f aca="false">SUM(B17:B22)</f>
        <v>22</v>
      </c>
      <c r="C23" s="181" t="n">
        <f aca="false">SUM(C17:C22)</f>
        <v>25</v>
      </c>
      <c r="D23" s="181" t="n">
        <f aca="false">SUM(D17:D22)</f>
        <v>25</v>
      </c>
      <c r="E23" s="181" t="n">
        <f aca="false">SUM(E17:E22)</f>
        <v>25</v>
      </c>
      <c r="F23" s="181" t="n">
        <f aca="false">SUM(F17:F22)</f>
        <v>25</v>
      </c>
      <c r="G23" s="181" t="n">
        <f aca="false">SUM(G17:G22)</f>
        <v>25</v>
      </c>
      <c r="H23" s="183"/>
      <c r="I23" s="183"/>
      <c r="J23" s="183"/>
      <c r="K23" s="183"/>
      <c r="L23" s="183"/>
      <c r="N23" s="187"/>
      <c r="O23" s="187"/>
      <c r="P23" s="187"/>
      <c r="Q23" s="187"/>
      <c r="R23" s="187"/>
      <c r="T23" s="187"/>
      <c r="U23" s="187"/>
      <c r="V23" s="187"/>
      <c r="W23" s="187"/>
      <c r="X23" s="187"/>
      <c r="Z23" s="187"/>
      <c r="AA23" s="187"/>
      <c r="AB23" s="187"/>
      <c r="AC23" s="187"/>
      <c r="AD23" s="187"/>
      <c r="AE23" s="185"/>
      <c r="AF23" s="186"/>
      <c r="AG23" s="188"/>
      <c r="AH23" s="185"/>
    </row>
    <row r="24" customFormat="false" ht="13.5" hidden="false" customHeight="false" outlineLevel="0" collapsed="false">
      <c r="H24" s="187"/>
      <c r="I24" s="187"/>
      <c r="J24" s="187"/>
      <c r="K24" s="187"/>
      <c r="L24" s="187"/>
      <c r="N24" s="187"/>
      <c r="O24" s="187"/>
      <c r="P24" s="187"/>
      <c r="Q24" s="187"/>
      <c r="R24" s="187"/>
      <c r="T24" s="187"/>
      <c r="W24" s="187"/>
      <c r="X24" s="187"/>
      <c r="Z24" s="187"/>
      <c r="AA24" s="187"/>
      <c r="AB24" s="187"/>
      <c r="AC24" s="187"/>
      <c r="AD24" s="187"/>
      <c r="AE24" s="185"/>
      <c r="AF24" s="186"/>
      <c r="AG24" s="188"/>
      <c r="AH24" s="185"/>
    </row>
    <row r="25" customFormat="false" ht="13.5" hidden="false" customHeight="false" outlineLevel="0" collapsed="false">
      <c r="A25" s="187"/>
      <c r="D25" s="187"/>
      <c r="E25" s="187"/>
      <c r="G25" s="187"/>
      <c r="H25" s="187"/>
      <c r="I25" s="187"/>
      <c r="J25" s="187"/>
      <c r="K25" s="187"/>
      <c r="L25" s="187"/>
      <c r="N25" s="187"/>
      <c r="O25" s="187"/>
      <c r="P25" s="187"/>
      <c r="Q25" s="187"/>
      <c r="R25" s="187"/>
      <c r="T25" s="187"/>
      <c r="W25" s="187"/>
      <c r="X25" s="187"/>
      <c r="Z25" s="187"/>
      <c r="AA25" s="187"/>
      <c r="AB25" s="187"/>
      <c r="AC25" s="187"/>
      <c r="AD25" s="187"/>
      <c r="AE25" s="185"/>
      <c r="AF25" s="186"/>
      <c r="AG25" s="188"/>
      <c r="AH25" s="185"/>
    </row>
    <row r="26" customFormat="false" ht="13.5" hidden="false" customHeight="false" outlineLevel="0" collapsed="false">
      <c r="A26" s="184"/>
      <c r="B26" s="182" t="s">
        <v>312</v>
      </c>
      <c r="C26" s="182"/>
      <c r="D26" s="182" t="s">
        <v>313</v>
      </c>
      <c r="E26" s="182"/>
      <c r="F26" s="182" t="s">
        <v>314</v>
      </c>
      <c r="G26" s="182"/>
      <c r="H26" s="187"/>
      <c r="I26" s="187"/>
      <c r="J26" s="187"/>
      <c r="K26" s="187"/>
      <c r="L26" s="187"/>
      <c r="N26" s="187"/>
      <c r="O26" s="187"/>
      <c r="P26" s="187"/>
      <c r="Q26" s="187"/>
      <c r="R26" s="187"/>
      <c r="T26" s="187"/>
      <c r="W26" s="187"/>
      <c r="X26" s="187"/>
      <c r="Z26" s="187"/>
      <c r="AA26" s="187"/>
      <c r="AB26" s="187"/>
      <c r="AC26" s="187"/>
      <c r="AD26" s="187"/>
      <c r="AE26" s="185"/>
      <c r="AF26" s="186"/>
      <c r="AG26" s="188"/>
      <c r="AH26" s="185"/>
    </row>
    <row r="27" customFormat="false" ht="25.5" hidden="false" customHeight="false" outlineLevel="0" collapsed="false">
      <c r="A27" s="182" t="s">
        <v>315</v>
      </c>
      <c r="B27" s="190" t="s">
        <v>316</v>
      </c>
      <c r="C27" s="190" t="s">
        <v>317</v>
      </c>
      <c r="D27" s="190" t="s">
        <v>316</v>
      </c>
      <c r="E27" s="190" t="s">
        <v>317</v>
      </c>
      <c r="F27" s="190" t="s">
        <v>316</v>
      </c>
      <c r="G27" s="190" t="s">
        <v>317</v>
      </c>
      <c r="H27" s="187"/>
      <c r="I27" s="187"/>
      <c r="J27" s="187"/>
      <c r="K27" s="187"/>
      <c r="L27" s="187"/>
      <c r="N27" s="187"/>
      <c r="O27" s="187"/>
      <c r="P27" s="187"/>
      <c r="Q27" s="187"/>
      <c r="R27" s="187"/>
      <c r="T27" s="187"/>
      <c r="W27" s="187"/>
      <c r="X27" s="187"/>
      <c r="Z27" s="187"/>
      <c r="AA27" s="187"/>
      <c r="AB27" s="187"/>
      <c r="AC27" s="187"/>
      <c r="AD27" s="187"/>
      <c r="AE27" s="185"/>
      <c r="AF27" s="186"/>
      <c r="AG27" s="188"/>
      <c r="AH27" s="185"/>
    </row>
    <row r="28" customFormat="false" ht="13.5" hidden="false" customHeight="false" outlineLevel="0" collapsed="false">
      <c r="A28" s="191" t="str">
        <f aca="false">A59</f>
        <v>Ajuntament Andratx</v>
      </c>
      <c r="B28" s="192" t="n">
        <f aca="false">(H59+H89+H150+H211)/D59</f>
        <v>72.5613311331133</v>
      </c>
      <c r="C28" s="192" t="n">
        <f aca="false">(H59+H89+H150+H211)/E59</f>
        <v>1199.24090909091</v>
      </c>
      <c r="D28" s="192" t="n">
        <f aca="false">(J59+J89+J150+J211)/D59</f>
        <v>101.472772277228</v>
      </c>
      <c r="E28" s="192" t="n">
        <f aca="false">(J59+J89+J150+J211)/E59</f>
        <v>1677.06818181818</v>
      </c>
      <c r="F28" s="192" t="n">
        <f aca="false">(L59+L89+L150+L211)/D59</f>
        <v>94.1168866886689</v>
      </c>
      <c r="G28" s="192" t="n">
        <f aca="false">(L59+L89+L150+L211)/E59</f>
        <v>1555.49545454545</v>
      </c>
      <c r="H28" s="187"/>
      <c r="I28" s="187"/>
      <c r="J28" s="187"/>
      <c r="K28" s="187"/>
      <c r="L28" s="187"/>
      <c r="N28" s="187"/>
      <c r="O28" s="187"/>
      <c r="P28" s="187"/>
      <c r="Q28" s="187"/>
      <c r="R28" s="187"/>
      <c r="T28" s="187"/>
      <c r="W28" s="187"/>
      <c r="X28" s="187"/>
      <c r="Z28" s="187"/>
      <c r="AA28" s="187"/>
      <c r="AB28" s="187"/>
      <c r="AC28" s="187"/>
      <c r="AD28" s="187"/>
      <c r="AE28" s="185"/>
      <c r="AF28" s="186"/>
      <c r="AG28" s="188"/>
      <c r="AH28" s="185"/>
    </row>
    <row r="29" customFormat="false" ht="13.5" hidden="false" customHeight="false" outlineLevel="0" collapsed="false">
      <c r="A29" s="191" t="str">
        <f aca="false">A60</f>
        <v>Poliesportiu municipal Es vinyet</v>
      </c>
      <c r="B29" s="192" t="e">
        <f aca="false">(H60+H90+H151+H212)/D60</f>
        <v>#DIV/0!</v>
      </c>
      <c r="C29" s="192" t="e">
        <f aca="false">(H60+H90+H151+H212)/E60</f>
        <v>#DIV/0!</v>
      </c>
      <c r="D29" s="192" t="e">
        <f aca="false">(J60+J90+J151+J212)/D60</f>
        <v>#DIV/0!</v>
      </c>
      <c r="E29" s="192" t="e">
        <f aca="false">(J60+J90+J151+J212)/E60</f>
        <v>#DIV/0!</v>
      </c>
      <c r="F29" s="192" t="e">
        <f aca="false">(L60+L90+L151+L212)/D60</f>
        <v>#DIV/0!</v>
      </c>
      <c r="G29" s="192" t="e">
        <f aca="false">(L60+L90+L151+L212)/E60</f>
        <v>#DIV/0!</v>
      </c>
      <c r="H29" s="187"/>
      <c r="I29" s="187"/>
      <c r="J29" s="187"/>
      <c r="K29" s="187"/>
      <c r="L29" s="187"/>
      <c r="N29" s="187"/>
      <c r="O29" s="187"/>
      <c r="P29" s="187"/>
      <c r="Q29" s="187"/>
      <c r="R29" s="187"/>
      <c r="T29" s="187"/>
      <c r="W29" s="187"/>
      <c r="X29" s="187"/>
      <c r="Z29" s="187"/>
      <c r="AA29" s="187"/>
      <c r="AB29" s="187"/>
      <c r="AC29" s="187"/>
      <c r="AD29" s="187"/>
      <c r="AE29" s="185"/>
      <c r="AF29" s="186"/>
      <c r="AG29" s="188"/>
      <c r="AH29" s="185"/>
    </row>
    <row r="30" customFormat="false" ht="13.5" hidden="false" customHeight="false" outlineLevel="0" collapsed="false">
      <c r="A30" s="191" t="str">
        <f aca="false">A61</f>
        <v>Camp municipal Sa Plana</v>
      </c>
      <c r="B30" s="192" t="n">
        <f aca="false">(H61+H91+H152+H213)/D61</f>
        <v>14.2071657381401</v>
      </c>
      <c r="C30" s="192" t="n">
        <f aca="false">(H61+H91+H152+H213)/E61</f>
        <v>2143.29302325581</v>
      </c>
      <c r="D30" s="192" t="n">
        <f aca="false">(J61+J91+J152+J213)/D61</f>
        <v>14.1461820446494</v>
      </c>
      <c r="E30" s="192" t="n">
        <f aca="false">(J61+J91+J152+J213)/E61</f>
        <v>2134.09302325581</v>
      </c>
      <c r="F30" s="192" t="n">
        <f aca="false">(L61+L91+L152+L213)/D61</f>
        <v>12.8497482649862</v>
      </c>
      <c r="G30" s="192" t="n">
        <f aca="false">(L61+L91+L152+L213)/E61</f>
        <v>1938.51302325581</v>
      </c>
      <c r="H30" s="187"/>
      <c r="I30" s="187"/>
      <c r="J30" s="187"/>
      <c r="K30" s="187"/>
      <c r="L30" s="187"/>
      <c r="N30" s="187"/>
      <c r="O30" s="187"/>
      <c r="P30" s="187"/>
      <c r="Q30" s="187"/>
      <c r="R30" s="187"/>
      <c r="T30" s="187"/>
      <c r="W30" s="187"/>
      <c r="X30" s="187"/>
      <c r="Z30" s="187"/>
      <c r="AA30" s="187"/>
      <c r="AB30" s="187"/>
      <c r="AC30" s="187"/>
      <c r="AD30" s="187"/>
      <c r="AE30" s="185"/>
      <c r="AF30" s="186"/>
      <c r="AG30" s="188"/>
      <c r="AH30" s="185"/>
    </row>
    <row r="31" customFormat="false" ht="13.5" hidden="false" customHeight="false" outlineLevel="0" collapsed="false">
      <c r="A31" s="191" t="str">
        <f aca="false">A62</f>
        <v>Cementiri s'Arracó</v>
      </c>
      <c r="B31" s="192" t="e">
        <f aca="false">(H62+H92+H153+H214)/D62</f>
        <v>#DIV/0!</v>
      </c>
      <c r="C31" s="192" t="e">
        <f aca="false">(H62+H92+H153+H214)/E62</f>
        <v>#DIV/0!</v>
      </c>
      <c r="D31" s="192" t="e">
        <f aca="false">(J62+J92+J153+J214)/D62</f>
        <v>#DIV/0!</v>
      </c>
      <c r="E31" s="192" t="e">
        <f aca="false">(J62+J92+J153+J214)/E62</f>
        <v>#DIV/0!</v>
      </c>
      <c r="F31" s="192" t="e">
        <f aca="false">(L62+L92+L153+L214)/D62</f>
        <v>#DIV/0!</v>
      </c>
      <c r="G31" s="192" t="e">
        <f aca="false">(L62+L92+L153+L214)/E62</f>
        <v>#DIV/0!</v>
      </c>
      <c r="H31" s="187"/>
      <c r="I31" s="187"/>
      <c r="J31" s="187"/>
      <c r="K31" s="187"/>
      <c r="L31" s="187"/>
      <c r="N31" s="187"/>
      <c r="O31" s="187"/>
      <c r="P31" s="187"/>
      <c r="Q31" s="187"/>
      <c r="R31" s="187"/>
      <c r="T31" s="187"/>
      <c r="W31" s="187"/>
      <c r="X31" s="187"/>
      <c r="Z31" s="187"/>
      <c r="AA31" s="187"/>
      <c r="AB31" s="187"/>
      <c r="AC31" s="187"/>
      <c r="AD31" s="187"/>
      <c r="AE31" s="185"/>
      <c r="AF31" s="186"/>
      <c r="AG31" s="188"/>
      <c r="AH31" s="185"/>
    </row>
    <row r="32" customFormat="false" ht="13.5" hidden="false" customHeight="false" outlineLevel="0" collapsed="false">
      <c r="A32" s="191" t="str">
        <f aca="false">A63</f>
        <v>Col·legi</v>
      </c>
      <c r="B32" s="192" t="e">
        <f aca="false">(H63+H93+H154+H215)/D63</f>
        <v>#DIV/0!</v>
      </c>
      <c r="C32" s="192" t="e">
        <f aca="false">(H63+H93+H154+H215)/E63</f>
        <v>#DIV/0!</v>
      </c>
      <c r="D32" s="192" t="e">
        <f aca="false">(J63+J93+J154+J215)/D63</f>
        <v>#DIV/0!</v>
      </c>
      <c r="E32" s="192" t="e">
        <f aca="false">(J63+J93+J154+J215)/E63</f>
        <v>#DIV/0!</v>
      </c>
      <c r="F32" s="192" t="e">
        <f aca="false">(L63+L93+L154+L215)/D63</f>
        <v>#DIV/0!</v>
      </c>
      <c r="G32" s="192" t="e">
        <f aca="false">(L63+L93+L154+L215)/E63</f>
        <v>#DIV/0!</v>
      </c>
      <c r="H32" s="187"/>
      <c r="I32" s="187"/>
      <c r="J32" s="187"/>
      <c r="K32" s="187"/>
      <c r="L32" s="187"/>
      <c r="N32" s="187"/>
      <c r="O32" s="187"/>
      <c r="P32" s="187"/>
      <c r="Q32" s="187"/>
      <c r="R32" s="187"/>
      <c r="T32" s="187"/>
      <c r="W32" s="187"/>
      <c r="X32" s="187"/>
      <c r="Z32" s="187"/>
      <c r="AA32" s="187"/>
      <c r="AB32" s="187"/>
      <c r="AC32" s="187"/>
      <c r="AD32" s="187"/>
      <c r="AE32" s="185"/>
      <c r="AF32" s="186"/>
      <c r="AG32" s="188"/>
      <c r="AH32" s="185"/>
    </row>
    <row r="33" customFormat="false" ht="13.5" hidden="false" customHeight="false" outlineLevel="0" collapsed="false">
      <c r="A33" s="191" t="str">
        <f aca="false">A64</f>
        <v>Palau d'esports</v>
      </c>
      <c r="B33" s="192" t="n">
        <f aca="false">(H64+H94+H155+H216)/D64</f>
        <v>197.652496845142</v>
      </c>
      <c r="C33" s="192" t="n">
        <f aca="false">(H64+H94+H155+H216)/E64</f>
        <v>3739.58524031008</v>
      </c>
      <c r="D33" s="192" t="n">
        <f aca="false">(J64+J94+J155+J216)/D64</f>
        <v>194.608099382139</v>
      </c>
      <c r="E33" s="192" t="n">
        <f aca="false">(J64+J94+J155+J216)/E64</f>
        <v>3681.98524031008</v>
      </c>
      <c r="F33" s="192" t="n">
        <f aca="false">(L64+L94+L155+L216)/D64</f>
        <v>180.957993673894</v>
      </c>
      <c r="G33" s="192" t="n">
        <f aca="false">(L64+L94+L155+L216)/E64</f>
        <v>3423.72524031008</v>
      </c>
      <c r="H33" s="187"/>
      <c r="I33" s="187"/>
      <c r="J33" s="187"/>
      <c r="K33" s="187"/>
      <c r="L33" s="187"/>
      <c r="N33" s="187"/>
      <c r="O33" s="187"/>
      <c r="P33" s="187"/>
      <c r="Q33" s="187"/>
      <c r="R33" s="187"/>
      <c r="T33" s="187"/>
      <c r="W33" s="187"/>
      <c r="X33" s="187"/>
      <c r="Z33" s="187"/>
      <c r="AA33" s="187"/>
      <c r="AB33" s="187"/>
      <c r="AC33" s="187"/>
      <c r="AD33" s="187"/>
      <c r="AE33" s="185"/>
      <c r="AF33" s="186"/>
      <c r="AG33" s="188"/>
      <c r="AH33" s="185"/>
    </row>
    <row r="34" customFormat="false" ht="13.5" hidden="false" customHeight="false" outlineLevel="0" collapsed="false">
      <c r="A34" s="191" t="str">
        <f aca="false">A65</f>
        <v>Escola de música</v>
      </c>
      <c r="B34" s="192" t="n">
        <f aca="false">(H65+H95+H156+H217)/D65</f>
        <v>77.2601279317697</v>
      </c>
      <c r="C34" s="192" t="e">
        <f aca="false">(H65+H95+H156+H217)/E65</f>
        <v>#DIV/0!</v>
      </c>
      <c r="D34" s="192" t="n">
        <f aca="false">(J65+J95+J156+J217)/D65</f>
        <v>71.3859275053305</v>
      </c>
      <c r="E34" s="192" t="e">
        <f aca="false">(J65+J95+J156+J217)/E65</f>
        <v>#DIV/0!</v>
      </c>
      <c r="F34" s="192" t="n">
        <f aca="false">(L65+L95+L156+L217)/D65</f>
        <v>95.6737739872068</v>
      </c>
      <c r="G34" s="192" t="e">
        <f aca="false">(L65+L95+L156+L217)/E65</f>
        <v>#DIV/0!</v>
      </c>
      <c r="H34" s="187"/>
      <c r="I34" s="187"/>
      <c r="J34" s="187"/>
      <c r="K34" s="187"/>
      <c r="L34" s="187"/>
      <c r="N34" s="187"/>
      <c r="O34" s="187"/>
      <c r="P34" s="187"/>
      <c r="Q34" s="187"/>
      <c r="R34" s="187"/>
      <c r="T34" s="187"/>
      <c r="W34" s="187"/>
      <c r="X34" s="187"/>
      <c r="Z34" s="187"/>
      <c r="AA34" s="187"/>
      <c r="AB34" s="187"/>
      <c r="AC34" s="187"/>
      <c r="AD34" s="187"/>
      <c r="AE34" s="185"/>
      <c r="AF34" s="186"/>
      <c r="AG34" s="188"/>
      <c r="AH34" s="185"/>
    </row>
    <row r="35" customFormat="false" ht="13.5" hidden="false" customHeight="false" outlineLevel="0" collapsed="false">
      <c r="A35" s="191" t="str">
        <f aca="false">A66</f>
        <v>Cementeri municipal Andratx</v>
      </c>
      <c r="B35" s="192" t="n">
        <f aca="false">(I66+H96+H157+H218)/D66</f>
        <v>1.95964733808071</v>
      </c>
      <c r="C35" s="192" t="e">
        <f aca="false">(I66+H96+H157+H218)/E66</f>
        <v>#DIV/0!</v>
      </c>
      <c r="D35" s="192" t="n">
        <f aca="false">(K66+J96+J157+J218)/D66</f>
        <v>7.55713801288572</v>
      </c>
      <c r="E35" s="192" t="e">
        <f aca="false">(K66+J96+J157+J218)/E66</f>
        <v>#DIV/0!</v>
      </c>
      <c r="F35" s="192" t="e">
        <f aca="false">(#REF!+L96+L157+L218)/D66</f>
        <v>#REF!</v>
      </c>
      <c r="G35" s="192" t="e">
        <f aca="false">(#REF!+L96+L157+L218)/E66</f>
        <v>#REF!</v>
      </c>
      <c r="H35" s="187"/>
      <c r="I35" s="187"/>
      <c r="J35" s="187"/>
      <c r="K35" s="187"/>
      <c r="L35" s="187"/>
      <c r="N35" s="187"/>
      <c r="O35" s="187"/>
      <c r="P35" s="187"/>
      <c r="Q35" s="187"/>
      <c r="R35" s="187"/>
      <c r="T35" s="187"/>
      <c r="W35" s="187"/>
      <c r="X35" s="187"/>
      <c r="Z35" s="187"/>
      <c r="AA35" s="187"/>
      <c r="AB35" s="187"/>
      <c r="AC35" s="187"/>
      <c r="AD35" s="187"/>
      <c r="AE35" s="185"/>
      <c r="AF35" s="186"/>
      <c r="AG35" s="188"/>
      <c r="AH35" s="185"/>
    </row>
    <row r="36" customFormat="false" ht="13.5" hidden="false" customHeight="false" outlineLevel="0" collapsed="false">
      <c r="A36" s="191" t="str">
        <f aca="false">A67</f>
        <v>Parc verd</v>
      </c>
      <c r="B36" s="192" t="n">
        <f aca="false">(H67+H97+H158+H219)/D67</f>
        <v>0</v>
      </c>
      <c r="C36" s="192" t="e">
        <f aca="false">(H67+H97+H158+H219)/E67</f>
        <v>#DIV/0!</v>
      </c>
      <c r="D36" s="192" t="n">
        <f aca="false">(J67+J97+J158+J219)/D67</f>
        <v>20.7837837837838</v>
      </c>
      <c r="E36" s="192" t="e">
        <f aca="false">(J67+J97+J158+J219)/E67</f>
        <v>#DIV/0!</v>
      </c>
      <c r="F36" s="192" t="n">
        <f aca="false">(L67+L97+L158+L219)/D67</f>
        <v>11.9099099099099</v>
      </c>
      <c r="G36" s="192" t="e">
        <f aca="false">(L67+L97+L158+L219)/E67</f>
        <v>#DIV/0!</v>
      </c>
      <c r="H36" s="187"/>
      <c r="I36" s="187"/>
      <c r="J36" s="187"/>
      <c r="K36" s="187"/>
      <c r="L36" s="187"/>
      <c r="N36" s="187"/>
      <c r="O36" s="187"/>
      <c r="P36" s="187"/>
      <c r="Q36" s="187"/>
      <c r="R36" s="187"/>
      <c r="T36" s="187"/>
      <c r="W36" s="187"/>
      <c r="X36" s="187"/>
      <c r="Z36" s="187"/>
      <c r="AA36" s="187"/>
      <c r="AB36" s="187"/>
      <c r="AC36" s="187"/>
      <c r="AD36" s="187"/>
      <c r="AE36" s="185"/>
      <c r="AF36" s="186"/>
      <c r="AG36" s="188"/>
      <c r="AH36" s="185"/>
    </row>
    <row r="37" customFormat="false" ht="13.5" hidden="false" customHeight="false" outlineLevel="0" collapsed="false">
      <c r="A37" s="191" t="str">
        <f aca="false">A68</f>
        <v>Biblioteca </v>
      </c>
      <c r="B37" s="192" t="n">
        <f aca="false">(H68+H98+H159+H220)/D68</f>
        <v>126.822840409956</v>
      </c>
      <c r="C37" s="192" t="n">
        <f aca="false">(H68+H98+H159+H220)/E68</f>
        <v>1634.33962264151</v>
      </c>
      <c r="D37" s="192" t="n">
        <f aca="false">(J68+J98+J159+J220)/D68</f>
        <v>64.8023426061493</v>
      </c>
      <c r="E37" s="192" t="n">
        <f aca="false">(J68+J98+J159+J220)/E68</f>
        <v>835.094339622642</v>
      </c>
      <c r="F37" s="192" t="n">
        <f aca="false">(L68+L98+L159+L220)/D68</f>
        <v>81.6237188872621</v>
      </c>
      <c r="G37" s="192" t="n">
        <f aca="false">(L68+L98+L159+L220)/E68</f>
        <v>1051.8679245283</v>
      </c>
      <c r="H37" s="187"/>
      <c r="I37" s="187"/>
      <c r="J37" s="187"/>
      <c r="K37" s="187"/>
      <c r="L37" s="187"/>
      <c r="N37" s="187"/>
      <c r="O37" s="187"/>
      <c r="P37" s="187"/>
      <c r="Q37" s="187"/>
      <c r="R37" s="187"/>
      <c r="T37" s="187"/>
      <c r="W37" s="187"/>
      <c r="X37" s="187"/>
      <c r="Z37" s="187"/>
      <c r="AA37" s="187"/>
      <c r="AB37" s="187"/>
      <c r="AC37" s="187"/>
      <c r="AD37" s="187"/>
      <c r="AE37" s="185"/>
      <c r="AF37" s="186"/>
      <c r="AG37" s="188"/>
      <c r="AH37" s="185"/>
    </row>
    <row r="38" customFormat="false" ht="13.5" hidden="false" customHeight="false" outlineLevel="0" collapsed="false">
      <c r="A38" s="191" t="str">
        <f aca="false">A69</f>
        <v>Local cultural</v>
      </c>
      <c r="B38" s="192" t="n">
        <f aca="false">(H69+H99+H160+H221)/D69</f>
        <v>7.45948827292111</v>
      </c>
      <c r="C38" s="192" t="e">
        <f aca="false">(H69+H99+H160+H221)/E69</f>
        <v>#DIV/0!</v>
      </c>
      <c r="D38" s="192" t="n">
        <f aca="false">(J69+J99+J160+J221)/D69</f>
        <v>10.5511727078891</v>
      </c>
      <c r="E38" s="192" t="e">
        <f aca="false">(J69+J99+J160+J221)/E69</f>
        <v>#DIV/0!</v>
      </c>
      <c r="F38" s="192" t="n">
        <f aca="false">(L69+L99+L160+L221)/D69</f>
        <v>11.0692963752665</v>
      </c>
      <c r="G38" s="192" t="e">
        <f aca="false">(L69+L99+L160+L221)/E69</f>
        <v>#DIV/0!</v>
      </c>
      <c r="H38" s="187"/>
      <c r="I38" s="187"/>
      <c r="J38" s="187"/>
      <c r="K38" s="187"/>
      <c r="L38" s="187"/>
      <c r="N38" s="187"/>
      <c r="O38" s="187"/>
      <c r="P38" s="187"/>
      <c r="Q38" s="187"/>
      <c r="R38" s="187"/>
      <c r="T38" s="187"/>
      <c r="W38" s="187"/>
      <c r="X38" s="187"/>
      <c r="Z38" s="187"/>
      <c r="AA38" s="187"/>
      <c r="AB38" s="187"/>
      <c r="AC38" s="187"/>
      <c r="AD38" s="187"/>
      <c r="AE38" s="185"/>
      <c r="AF38" s="186"/>
      <c r="AG38" s="188"/>
      <c r="AH38" s="185"/>
    </row>
    <row r="39" customFormat="false" ht="13.5" hidden="false" customHeight="false" outlineLevel="0" collapsed="false">
      <c r="A39" s="191" t="str">
        <f aca="false">A70</f>
        <v>Centre de dia</v>
      </c>
      <c r="B39" s="192" t="n">
        <f aca="false">(H70+H100+H161+H222)/D70</f>
        <v>0</v>
      </c>
      <c r="C39" s="192" t="e">
        <f aca="false">(H70+H100+H161+H222)/E70</f>
        <v>#DIV/0!</v>
      </c>
      <c r="D39" s="192" t="n">
        <f aca="false">(J70+J100+J161+J222)/D70</f>
        <v>0</v>
      </c>
      <c r="E39" s="192" t="e">
        <f aca="false">(J70+J100+J161+J222)/E70</f>
        <v>#DIV/0!</v>
      </c>
      <c r="F39" s="192" t="n">
        <f aca="false">(L70+L100+L161+L222)/D70</f>
        <v>1.26731078904992</v>
      </c>
      <c r="G39" s="192" t="e">
        <f aca="false">(L70+L100+L161+L222)/E70</f>
        <v>#DIV/0!</v>
      </c>
      <c r="H39" s="187"/>
      <c r="I39" s="187"/>
      <c r="J39" s="187"/>
      <c r="K39" s="187"/>
      <c r="L39" s="187"/>
      <c r="N39" s="187"/>
      <c r="O39" s="187"/>
      <c r="P39" s="187"/>
      <c r="Q39" s="187"/>
      <c r="R39" s="187"/>
      <c r="T39" s="187"/>
      <c r="W39" s="187"/>
      <c r="X39" s="187"/>
      <c r="Z39" s="187"/>
      <c r="AA39" s="187"/>
      <c r="AB39" s="187"/>
      <c r="AC39" s="187"/>
      <c r="AD39" s="187"/>
      <c r="AE39" s="185"/>
      <c r="AF39" s="186"/>
      <c r="AG39" s="188"/>
      <c r="AH39" s="185"/>
    </row>
    <row r="40" customFormat="false" ht="13.5" hidden="false" customHeight="false" outlineLevel="0" collapsed="false">
      <c r="A40" s="191" t="str">
        <f aca="false">A71</f>
        <v>Oficines</v>
      </c>
      <c r="B40" s="192" t="n">
        <f aca="false">(H71+H101+H162+H223)/D71</f>
        <v>20.3125</v>
      </c>
      <c r="C40" s="192" t="e">
        <f aca="false">(H71+H101+H162+H223)/E71</f>
        <v>#DIV/0!</v>
      </c>
      <c r="D40" s="192" t="n">
        <f aca="false">(J71+J101+J162+J223)/D71</f>
        <v>12.3804347826087</v>
      </c>
      <c r="E40" s="192" t="e">
        <f aca="false">(J71+J101+J162+J223)/E71</f>
        <v>#DIV/0!</v>
      </c>
      <c r="F40" s="192" t="n">
        <f aca="false">(L71+L101+L162+L223)/D71</f>
        <v>0.285326086956522</v>
      </c>
      <c r="G40" s="192" t="e">
        <f aca="false">(L71+L101+L162+L223)/E71</f>
        <v>#DIV/0!</v>
      </c>
      <c r="H40" s="187"/>
      <c r="I40" s="187"/>
      <c r="J40" s="187"/>
      <c r="K40" s="187"/>
      <c r="L40" s="187"/>
      <c r="N40" s="187"/>
      <c r="O40" s="187"/>
      <c r="P40" s="187"/>
      <c r="Q40" s="187"/>
      <c r="R40" s="187"/>
      <c r="T40" s="187"/>
      <c r="W40" s="187"/>
      <c r="X40" s="187"/>
      <c r="Z40" s="187"/>
      <c r="AA40" s="187"/>
      <c r="AB40" s="187"/>
      <c r="AC40" s="187"/>
      <c r="AD40" s="187"/>
      <c r="AE40" s="185"/>
      <c r="AF40" s="186"/>
      <c r="AG40" s="188"/>
      <c r="AH40" s="185"/>
    </row>
    <row r="41" customFormat="false" ht="13.5" hidden="false" customHeight="false" outlineLevel="0" collapsed="false">
      <c r="A41" s="191" t="str">
        <f aca="false">A72</f>
        <v>Cultural</v>
      </c>
      <c r="B41" s="192" t="n">
        <f aca="false">(H72+H102+H163+H224)/D72</f>
        <v>6.513671875</v>
      </c>
      <c r="C41" s="192" t="e">
        <f aca="false">(H72+H102+H163+H224)/E72</f>
        <v>#DIV/0!</v>
      </c>
      <c r="D41" s="192" t="n">
        <f aca="false">(J72+J102+J163+J224)/D72</f>
        <v>6.564453125</v>
      </c>
      <c r="E41" s="192" t="e">
        <f aca="false">(J72+J102+J163+J224)/E72</f>
        <v>#DIV/0!</v>
      </c>
      <c r="F41" s="192" t="n">
        <f aca="false">(L72+L102+L163+L224)/D72</f>
        <v>1.1953125</v>
      </c>
      <c r="G41" s="192" t="e">
        <f aca="false">(L72+L102+L163+L224)/E72</f>
        <v>#DIV/0!</v>
      </c>
      <c r="H41" s="187"/>
      <c r="I41" s="187"/>
      <c r="J41" s="187"/>
      <c r="K41" s="187"/>
      <c r="L41" s="187"/>
      <c r="N41" s="187"/>
      <c r="O41" s="187"/>
      <c r="P41" s="187"/>
      <c r="Q41" s="187"/>
      <c r="R41" s="187"/>
      <c r="T41" s="187"/>
      <c r="W41" s="187"/>
      <c r="X41" s="187"/>
      <c r="Z41" s="187"/>
      <c r="AA41" s="187"/>
      <c r="AB41" s="187"/>
      <c r="AC41" s="187"/>
      <c r="AD41" s="187"/>
      <c r="AE41" s="185"/>
      <c r="AF41" s="186"/>
      <c r="AG41" s="188"/>
      <c r="AH41" s="185"/>
    </row>
    <row r="42" customFormat="false" ht="13.5" hidden="false" customHeight="false" outlineLevel="0" collapsed="false">
      <c r="A42" s="191" t="str">
        <f aca="false">A73</f>
        <v>Teatre municipal</v>
      </c>
      <c r="B42" s="192" t="n">
        <f aca="false">(H73+H103+H164+H225)/D73</f>
        <v>23.8016726403823</v>
      </c>
      <c r="C42" s="192" t="e">
        <f aca="false">(H73+H103+H164+H225)/E73</f>
        <v>#DIV/0!</v>
      </c>
      <c r="D42" s="192" t="n">
        <f aca="false">(J73+J103+J164+J225)/D73</f>
        <v>18.0358422939068</v>
      </c>
      <c r="E42" s="192" t="e">
        <f aca="false">(J73+J103+J164+J225)/E73</f>
        <v>#DIV/0!</v>
      </c>
      <c r="F42" s="192" t="n">
        <f aca="false">(L73+L103+L164+L225)/D73</f>
        <v>20.2401433691756</v>
      </c>
      <c r="G42" s="192" t="e">
        <f aca="false">(L73+L103+L164+L225)/E73</f>
        <v>#DIV/0!</v>
      </c>
      <c r="H42" s="187"/>
      <c r="I42" s="187"/>
      <c r="J42" s="187"/>
      <c r="K42" s="187"/>
      <c r="L42" s="187"/>
      <c r="N42" s="187"/>
      <c r="O42" s="187"/>
      <c r="P42" s="187"/>
      <c r="Q42" s="187"/>
      <c r="R42" s="187"/>
      <c r="T42" s="187"/>
      <c r="W42" s="187"/>
      <c r="X42" s="187"/>
      <c r="Z42" s="187"/>
      <c r="AA42" s="187"/>
      <c r="AB42" s="187"/>
      <c r="AC42" s="187"/>
      <c r="AD42" s="187"/>
      <c r="AE42" s="185"/>
      <c r="AF42" s="186"/>
      <c r="AG42" s="188"/>
      <c r="AH42" s="185"/>
    </row>
    <row r="43" customFormat="false" ht="13.5" hidden="false" customHeight="false" outlineLevel="0" collapsed="false">
      <c r="A43" s="191" t="str">
        <f aca="false">A74</f>
        <v>Escoleta municipal</v>
      </c>
      <c r="B43" s="192" t="n">
        <f aca="false">(H74+H104+H165+H226)/D74</f>
        <v>47.8061011282909</v>
      </c>
      <c r="C43" s="192" t="e">
        <f aca="false">(H74+H104+H165+H226)/E74</f>
        <v>#DIV/0!</v>
      </c>
      <c r="D43" s="192" t="n">
        <f aca="false">(J74+J104+J165+J226)/D74</f>
        <v>47.304638529043</v>
      </c>
      <c r="E43" s="192" t="e">
        <f aca="false">(J74+J104+J165+J226)/E74</f>
        <v>#DIV/0!</v>
      </c>
      <c r="F43" s="192" t="n">
        <f aca="false">(L74+L104+L165+L226)/D74</f>
        <v>53.2921019640619</v>
      </c>
      <c r="G43" s="192" t="e">
        <f aca="false">(L74+L104+L165+L226)/E74</f>
        <v>#DIV/0!</v>
      </c>
      <c r="H43" s="187"/>
      <c r="I43" s="187"/>
      <c r="J43" s="187"/>
      <c r="K43" s="187"/>
      <c r="L43" s="187"/>
      <c r="N43" s="187"/>
      <c r="O43" s="187"/>
      <c r="P43" s="187"/>
      <c r="Q43" s="187"/>
      <c r="R43" s="187"/>
      <c r="T43" s="187"/>
      <c r="W43" s="187"/>
      <c r="X43" s="187"/>
      <c r="Z43" s="187"/>
      <c r="AA43" s="187"/>
      <c r="AB43" s="187"/>
      <c r="AC43" s="187"/>
      <c r="AD43" s="187"/>
      <c r="AE43" s="185"/>
      <c r="AF43" s="186"/>
      <c r="AG43" s="188"/>
      <c r="AH43" s="185"/>
    </row>
    <row r="44" customFormat="false" ht="13.5" hidden="false" customHeight="false" outlineLevel="0" collapsed="false">
      <c r="A44" s="191" t="str">
        <f aca="false">A75</f>
        <v>Residencial</v>
      </c>
      <c r="B44" s="192" t="n">
        <f aca="false">(H75+H105+H166+H227)/D75</f>
        <v>793.215277777778</v>
      </c>
      <c r="C44" s="192" t="e">
        <f aca="false">(H75+H105+H166+H227)/E75</f>
        <v>#DIV/0!</v>
      </c>
      <c r="D44" s="192" t="n">
        <f aca="false">(J75+J105+J166+J227)/D75</f>
        <v>889.4375</v>
      </c>
      <c r="E44" s="192" t="e">
        <f aca="false">(J75+J105+J166+J227)/E75</f>
        <v>#DIV/0!</v>
      </c>
      <c r="F44" s="192" t="n">
        <f aca="false">(L75+L105+L166+L227)/D75</f>
        <v>692.965277777778</v>
      </c>
      <c r="G44" s="192" t="e">
        <f aca="false">(L75+L105+L166+L227)/E75</f>
        <v>#DIV/0!</v>
      </c>
      <c r="H44" s="187"/>
      <c r="I44" s="187"/>
      <c r="J44" s="187"/>
      <c r="K44" s="187"/>
      <c r="L44" s="187"/>
      <c r="N44" s="187"/>
      <c r="O44" s="187"/>
      <c r="P44" s="187"/>
      <c r="Q44" s="187"/>
      <c r="R44" s="187"/>
      <c r="T44" s="187"/>
      <c r="W44" s="187"/>
      <c r="X44" s="187"/>
      <c r="Z44" s="187"/>
      <c r="AA44" s="187"/>
      <c r="AB44" s="187"/>
      <c r="AC44" s="187"/>
      <c r="AD44" s="187"/>
      <c r="AE44" s="185"/>
      <c r="AF44" s="186"/>
      <c r="AG44" s="188"/>
      <c r="AH44" s="185"/>
    </row>
    <row r="45" customFormat="false" ht="13.5" hidden="false" customHeight="false" outlineLevel="0" collapsed="false">
      <c r="A45" s="191" t="str">
        <f aca="false">A76</f>
        <v>Camp municipal s'Arracó</v>
      </c>
      <c r="B45" s="192" t="n">
        <f aca="false">(H76+H106+H167+H228)/D76</f>
        <v>15.3759661671978</v>
      </c>
      <c r="C45" s="192" t="n">
        <f aca="false">(H76+H106+H167+H228)/E76</f>
        <v>1687.66604651163</v>
      </c>
      <c r="D45" s="192" t="n">
        <f aca="false">(J76+J106+J167+J228)/D76</f>
        <v>11.637627974778</v>
      </c>
      <c r="E45" s="192" t="n">
        <f aca="false">(J76+J106+J167+J228)/E76</f>
        <v>1277.34604651163</v>
      </c>
      <c r="F45" s="192" t="n">
        <f aca="false">(L76+L106+L167+L228)/D76</f>
        <v>11.0168189368771</v>
      </c>
      <c r="G45" s="192" t="n">
        <f aca="false">(L76+L106+L167+L228)/E76</f>
        <v>1209.20604651163</v>
      </c>
      <c r="H45" s="187"/>
      <c r="I45" s="187"/>
      <c r="J45" s="187"/>
      <c r="K45" s="187"/>
      <c r="L45" s="187"/>
      <c r="N45" s="187"/>
      <c r="O45" s="187"/>
      <c r="P45" s="187"/>
      <c r="Q45" s="187"/>
      <c r="R45" s="187"/>
      <c r="T45" s="187"/>
      <c r="W45" s="187"/>
      <c r="X45" s="187"/>
      <c r="Z45" s="187"/>
      <c r="AA45" s="187"/>
      <c r="AB45" s="187"/>
      <c r="AC45" s="187"/>
      <c r="AD45" s="187"/>
      <c r="AE45" s="185"/>
      <c r="AF45" s="186"/>
      <c r="AG45" s="188"/>
      <c r="AH45" s="185"/>
    </row>
    <row r="46" customFormat="false" ht="13.5" hidden="false" customHeight="false" outlineLevel="0" collapsed="false">
      <c r="A46" s="191" t="str">
        <f aca="false">A77</f>
        <v>local comercial</v>
      </c>
      <c r="B46" s="192" t="n">
        <f aca="false">(H77+H107+H168+H229)/D77</f>
        <v>189.283018867925</v>
      </c>
      <c r="C46" s="192" t="e">
        <f aca="false">(H77+H107+H168+H229)/E77</f>
        <v>#DIV/0!</v>
      </c>
      <c r="D46" s="192" t="n">
        <f aca="false">(J77+J107+J168+J229)/D77</f>
        <v>242.509433962264</v>
      </c>
      <c r="E46" s="192" t="e">
        <f aca="false">(J77+J107+J168+J229)/E77</f>
        <v>#DIV/0!</v>
      </c>
      <c r="F46" s="192" t="n">
        <f aca="false">(L77+L107+L168+L229)/D77</f>
        <v>296.754716981132</v>
      </c>
      <c r="G46" s="192" t="e">
        <f aca="false">(L77+L107+L168+L229)/E77</f>
        <v>#DIV/0!</v>
      </c>
      <c r="H46" s="187"/>
      <c r="I46" s="187"/>
      <c r="J46" s="187"/>
      <c r="K46" s="187"/>
      <c r="L46" s="187"/>
      <c r="N46" s="187"/>
      <c r="O46" s="187"/>
      <c r="P46" s="187"/>
      <c r="Q46" s="187"/>
      <c r="R46" s="187"/>
      <c r="T46" s="187"/>
      <c r="W46" s="187"/>
      <c r="X46" s="187"/>
      <c r="Z46" s="187"/>
      <c r="AA46" s="187"/>
      <c r="AB46" s="187"/>
      <c r="AC46" s="187"/>
      <c r="AD46" s="187"/>
      <c r="AE46" s="185"/>
      <c r="AF46" s="186"/>
      <c r="AG46" s="188"/>
      <c r="AH46" s="185"/>
    </row>
    <row r="47" customFormat="false" ht="13.5" hidden="false" customHeight="false" outlineLevel="0" collapsed="false">
      <c r="A47" s="191" t="str">
        <f aca="false">A78</f>
        <v>Casa cultural i assistencial</v>
      </c>
      <c r="B47" s="192" t="n">
        <f aca="false">(H78+H108+H169+H230)/D78</f>
        <v>18.8591954022989</v>
      </c>
      <c r="C47" s="192" t="e">
        <f aca="false">(H78+H108+H169+H230)/E78</f>
        <v>#DIV/0!</v>
      </c>
      <c r="D47" s="192" t="n">
        <f aca="false">(J78+J108+J169+J230)/D78</f>
        <v>25.2298850574713</v>
      </c>
      <c r="E47" s="192" t="e">
        <f aca="false">(J78+J108+J169+J230)/E78</f>
        <v>#DIV/0!</v>
      </c>
      <c r="F47" s="192" t="n">
        <f aca="false">(L78+L108+L169+L230)/D78</f>
        <v>32.4166666666667</v>
      </c>
      <c r="G47" s="192" t="e">
        <f aca="false">(L78+L108+L169+L230)/E78</f>
        <v>#DIV/0!</v>
      </c>
      <c r="H47" s="187"/>
      <c r="I47" s="187"/>
      <c r="J47" s="187"/>
      <c r="K47" s="187"/>
      <c r="L47" s="187"/>
      <c r="N47" s="187"/>
      <c r="O47" s="187"/>
      <c r="P47" s="187"/>
      <c r="Q47" s="187"/>
      <c r="R47" s="187"/>
      <c r="T47" s="187"/>
      <c r="W47" s="187"/>
      <c r="X47" s="187"/>
      <c r="Z47" s="187"/>
      <c r="AA47" s="187"/>
      <c r="AB47" s="187"/>
      <c r="AC47" s="187"/>
      <c r="AD47" s="187"/>
      <c r="AE47" s="185"/>
      <c r="AF47" s="186"/>
      <c r="AG47" s="188"/>
      <c r="AH47" s="185"/>
    </row>
    <row r="48" customFormat="false" ht="13.5" hidden="false" customHeight="false" outlineLevel="0" collapsed="false">
      <c r="A48" s="191" t="str">
        <f aca="false">A79</f>
        <v>Centre de salut</v>
      </c>
      <c r="B48" s="192" t="n">
        <f aca="false">(H79+H109+H170+H231)/D79</f>
        <v>89.3053645116919</v>
      </c>
      <c r="C48" s="192" t="e">
        <f aca="false">(H79+H109+H170+H231)/E79</f>
        <v>#DIV/0!</v>
      </c>
      <c r="D48" s="192" t="n">
        <f aca="false">(J79+J109+J170+J231)/D79</f>
        <v>81.6024759284732</v>
      </c>
      <c r="E48" s="192" t="e">
        <f aca="false">(J79+J109+J170+J231)/E79</f>
        <v>#DIV/0!</v>
      </c>
      <c r="F48" s="192" t="n">
        <f aca="false">(L79+L109+L170+L231)/D79</f>
        <v>82.869325997249</v>
      </c>
      <c r="G48" s="192" t="e">
        <f aca="false">(L79+L109+L170+L231)/E79</f>
        <v>#DIV/0!</v>
      </c>
      <c r="H48" s="187"/>
      <c r="I48" s="187"/>
      <c r="J48" s="187"/>
      <c r="K48" s="187"/>
      <c r="L48" s="187"/>
      <c r="N48" s="187"/>
      <c r="O48" s="187"/>
      <c r="P48" s="187"/>
      <c r="Q48" s="187"/>
      <c r="R48" s="187"/>
      <c r="T48" s="187"/>
      <c r="W48" s="187"/>
      <c r="X48" s="187"/>
      <c r="Z48" s="187"/>
      <c r="AA48" s="187"/>
      <c r="AB48" s="187"/>
      <c r="AC48" s="187"/>
      <c r="AD48" s="187"/>
      <c r="AE48" s="185"/>
      <c r="AF48" s="186"/>
      <c r="AG48" s="188"/>
      <c r="AH48" s="185"/>
    </row>
    <row r="49" customFormat="false" ht="13.5" hidden="false" customHeight="false" outlineLevel="0" collapsed="false">
      <c r="A49" s="191" t="str">
        <f aca="false">A80</f>
        <v>Institut Baltasar Porcel</v>
      </c>
      <c r="B49" s="192" t="n">
        <f aca="false">(H80+H110+H171+H232)/D80</f>
        <v>8.97892184293975</v>
      </c>
      <c r="C49" s="192" t="e">
        <f aca="false">(H80+H110+H171+H232)/E80</f>
        <v>#DIV/0!</v>
      </c>
      <c r="D49" s="192" t="n">
        <f aca="false">(J80+J110+J171+J232)/D80</f>
        <v>5.37810110054094</v>
      </c>
      <c r="E49" s="192" t="e">
        <f aca="false">(J80+J110+J171+J232)/E80</f>
        <v>#DIV/0!</v>
      </c>
      <c r="F49" s="192" t="n">
        <f aca="false">(L80+L110+L171+L232)/D80</f>
        <v>8.51967916433501</v>
      </c>
      <c r="G49" s="192" t="e">
        <f aca="false">(L80+L110+L171+L232)/E80</f>
        <v>#DIV/0!</v>
      </c>
      <c r="H49" s="187"/>
      <c r="I49" s="187"/>
      <c r="J49" s="187"/>
      <c r="K49" s="187"/>
      <c r="L49" s="187"/>
      <c r="N49" s="187"/>
      <c r="O49" s="187"/>
      <c r="P49" s="187"/>
      <c r="Q49" s="187"/>
      <c r="R49" s="187"/>
      <c r="T49" s="187"/>
      <c r="W49" s="187"/>
      <c r="X49" s="187"/>
      <c r="Z49" s="187"/>
      <c r="AA49" s="187"/>
      <c r="AB49" s="187"/>
      <c r="AC49" s="187"/>
      <c r="AD49" s="187"/>
      <c r="AE49" s="185"/>
      <c r="AF49" s="186"/>
      <c r="AG49" s="188"/>
      <c r="AH49" s="185"/>
    </row>
    <row r="50" customFormat="false" ht="13.5" hidden="false" customHeight="false" outlineLevel="0" collapsed="false">
      <c r="A50" s="191" t="str">
        <f aca="false">A81</f>
        <v>Escola Ses Bassetes</v>
      </c>
      <c r="B50" s="192" t="n">
        <f aca="false">(H81+H111+H172+H233)/D81</f>
        <v>112.920168067227</v>
      </c>
      <c r="C50" s="192" t="e">
        <f aca="false">(H81+H111+H172+H233)/E81</f>
        <v>#DIV/0!</v>
      </c>
      <c r="D50" s="192" t="n">
        <f aca="false">(J81+J111+J172+J233)/D81</f>
        <v>109.987394957983</v>
      </c>
      <c r="E50" s="192" t="e">
        <f aca="false">(J81+J111+J172+J233)/E81</f>
        <v>#DIV/0!</v>
      </c>
      <c r="F50" s="192" t="n">
        <f aca="false">(L81+L111+L172+L233)/D81</f>
        <v>142.77731092437</v>
      </c>
      <c r="G50" s="192" t="e">
        <f aca="false">(L81+L111+L172+L233)/E81</f>
        <v>#DIV/0!</v>
      </c>
      <c r="H50" s="187"/>
      <c r="I50" s="187"/>
      <c r="J50" s="187"/>
      <c r="K50" s="187"/>
      <c r="L50" s="187"/>
      <c r="N50" s="187"/>
      <c r="O50" s="187"/>
      <c r="P50" s="187"/>
      <c r="Q50" s="187"/>
      <c r="R50" s="187"/>
      <c r="T50" s="187"/>
      <c r="W50" s="187"/>
      <c r="X50" s="187"/>
      <c r="Z50" s="187"/>
      <c r="AA50" s="187"/>
      <c r="AB50" s="187"/>
      <c r="AC50" s="187"/>
      <c r="AD50" s="187"/>
      <c r="AE50" s="185"/>
      <c r="AF50" s="186"/>
      <c r="AG50" s="188"/>
      <c r="AH50" s="185"/>
    </row>
    <row r="51" customFormat="false" ht="13.5" hidden="false" customHeight="false" outlineLevel="0" collapsed="false">
      <c r="A51" s="191" t="str">
        <f aca="false">A82</f>
        <v>Escola Ses Bassetes</v>
      </c>
      <c r="B51" s="192" t="n">
        <f aca="false">(H82+H112+H173+H234)/D82</f>
        <v>163.638655462185</v>
      </c>
      <c r="C51" s="192" t="e">
        <f aca="false">(H82+H112+H173+H234)/E82</f>
        <v>#DIV/0!</v>
      </c>
      <c r="D51" s="192" t="n">
        <f aca="false">(J82+J112+J173+J234)/D82</f>
        <v>142.453781512605</v>
      </c>
      <c r="E51" s="192" t="e">
        <f aca="false">(J82+J112+J173+J234)/E82</f>
        <v>#DIV/0!</v>
      </c>
      <c r="F51" s="192" t="n">
        <f aca="false">(L82+L112+L173+L234)/D82</f>
        <v>152.68487394958</v>
      </c>
      <c r="G51" s="192" t="e">
        <f aca="false">(L82+L112+L173+L234)/E82</f>
        <v>#DIV/0!</v>
      </c>
      <c r="H51" s="187"/>
      <c r="I51" s="187"/>
      <c r="J51" s="187"/>
      <c r="K51" s="187"/>
      <c r="L51" s="187"/>
      <c r="N51" s="187"/>
      <c r="O51" s="187"/>
      <c r="P51" s="187"/>
      <c r="Q51" s="187"/>
      <c r="R51" s="187"/>
      <c r="T51" s="187"/>
      <c r="W51" s="187"/>
      <c r="X51" s="187"/>
      <c r="Z51" s="187"/>
      <c r="AA51" s="187"/>
      <c r="AB51" s="187"/>
      <c r="AC51" s="187"/>
      <c r="AD51" s="187"/>
      <c r="AE51" s="185"/>
      <c r="AF51" s="186"/>
      <c r="AG51" s="188"/>
      <c r="AH51" s="185"/>
    </row>
    <row r="52" customFormat="false" ht="13.5" hidden="false" customHeight="false" outlineLevel="0" collapsed="false">
      <c r="A52" s="191" t="str">
        <f aca="false">A83</f>
        <v>Local gent gran</v>
      </c>
      <c r="B52" s="192" t="n">
        <f aca="false">(H83+H113+H174+H235)/D83</f>
        <v>82.2382478632479</v>
      </c>
      <c r="C52" s="192" t="e">
        <f aca="false">(H83+H113+H174+H235)/E83</f>
        <v>#DIV/0!</v>
      </c>
      <c r="D52" s="192" t="n">
        <f aca="false">(J83+J113+J174+J235)/D83</f>
        <v>0</v>
      </c>
      <c r="E52" s="192" t="e">
        <f aca="false">(J83+J113+J174+J235)/E83</f>
        <v>#DIV/0!</v>
      </c>
      <c r="F52" s="192" t="n">
        <f aca="false">(L83+L113+L174+L235)/D83</f>
        <v>44.1324786324786</v>
      </c>
      <c r="G52" s="192" t="e">
        <f aca="false">(L83+L113+L174+L235)/E83</f>
        <v>#DIV/0!</v>
      </c>
      <c r="H52" s="187"/>
      <c r="I52" s="187"/>
      <c r="J52" s="187"/>
      <c r="K52" s="187"/>
      <c r="L52" s="187"/>
      <c r="N52" s="187"/>
      <c r="O52" s="187"/>
      <c r="P52" s="187"/>
      <c r="Q52" s="187"/>
      <c r="R52" s="187"/>
      <c r="T52" s="187"/>
      <c r="W52" s="187"/>
      <c r="X52" s="187"/>
      <c r="Z52" s="187"/>
      <c r="AA52" s="187"/>
      <c r="AB52" s="187"/>
      <c r="AC52" s="187"/>
      <c r="AD52" s="187"/>
      <c r="AE52" s="185"/>
      <c r="AF52" s="186"/>
      <c r="AG52" s="188"/>
      <c r="AH52" s="185"/>
    </row>
    <row r="53" customFormat="false" ht="13.5" hidden="false" customHeight="false" outlineLevel="0" collapsed="false">
      <c r="A53" s="191" t="n">
        <f aca="false">A84</f>
        <v>0</v>
      </c>
      <c r="B53" s="192" t="e">
        <f aca="false">(H84+H114+H175+H236)/D84</f>
        <v>#DIV/0!</v>
      </c>
      <c r="C53" s="192" t="e">
        <f aca="false">(H84+H114+H175+H236)/E84</f>
        <v>#DIV/0!</v>
      </c>
      <c r="D53" s="192" t="e">
        <f aca="false">(J84+J114+J175+J236)/D84</f>
        <v>#DIV/0!</v>
      </c>
      <c r="E53" s="192" t="e">
        <f aca="false">(J84+J114+J175+J236)/E84</f>
        <v>#DIV/0!</v>
      </c>
      <c r="F53" s="192" t="e">
        <f aca="false">(L84+L114+L175+L236)/D84</f>
        <v>#DIV/0!</v>
      </c>
      <c r="G53" s="192" t="e">
        <f aca="false">(L84+L114+L175+L236)/E84</f>
        <v>#DIV/0!</v>
      </c>
      <c r="H53" s="187"/>
      <c r="I53" s="187"/>
      <c r="J53" s="187"/>
      <c r="K53" s="187"/>
      <c r="L53" s="187"/>
      <c r="N53" s="187"/>
      <c r="O53" s="187"/>
      <c r="P53" s="187"/>
      <c r="Q53" s="187"/>
      <c r="R53" s="187"/>
      <c r="T53" s="187"/>
      <c r="W53" s="187"/>
      <c r="X53" s="187"/>
      <c r="Z53" s="187"/>
      <c r="AA53" s="187"/>
      <c r="AB53" s="187"/>
      <c r="AC53" s="187"/>
      <c r="AD53" s="187"/>
      <c r="AE53" s="185"/>
      <c r="AF53" s="186"/>
      <c r="AG53" s="188"/>
      <c r="AH53" s="185"/>
    </row>
    <row r="54" customFormat="false" ht="13.5" hidden="false" customHeight="false" outlineLevel="0" collapsed="false">
      <c r="A54" s="182" t="s">
        <v>318</v>
      </c>
      <c r="B54" s="192" t="n">
        <f aca="false">(H85+H115+H176+H237)/D85</f>
        <v>59.3210860273809</v>
      </c>
      <c r="C54" s="192" t="n">
        <f aca="false">(H85+H115+H176+H237)/E85</f>
        <v>3578.83318704862</v>
      </c>
      <c r="D54" s="192" t="n">
        <f aca="false">(J85+J115+J176+J237)/D85</f>
        <v>57.7446365913926</v>
      </c>
      <c r="E54" s="192" t="n">
        <f aca="false">(J85+J115+J176+J237)/E85</f>
        <v>3483.72620339334</v>
      </c>
      <c r="F54" s="192" t="n">
        <f aca="false">(L85+L115+L176+L237)/D85</f>
        <v>56.1711919334939</v>
      </c>
      <c r="G54" s="192" t="n">
        <f aca="false">(L85+L115+L176+L237)/E85</f>
        <v>3388.8004975984</v>
      </c>
      <c r="H54" s="187"/>
      <c r="I54" s="187"/>
      <c r="J54" s="187"/>
      <c r="K54" s="187"/>
      <c r="L54" s="187"/>
      <c r="N54" s="187"/>
      <c r="O54" s="187"/>
      <c r="P54" s="187"/>
      <c r="Q54" s="187"/>
      <c r="R54" s="187"/>
      <c r="T54" s="187"/>
      <c r="W54" s="187"/>
      <c r="X54" s="187"/>
      <c r="Z54" s="187"/>
      <c r="AA54" s="187"/>
      <c r="AB54" s="187"/>
      <c r="AC54" s="187"/>
      <c r="AD54" s="187"/>
      <c r="AE54" s="185"/>
      <c r="AF54" s="186"/>
      <c r="AG54" s="188"/>
      <c r="AH54" s="185"/>
    </row>
    <row r="55" customFormat="false" ht="13.5" hidden="false" customHeight="false" outlineLevel="0" collapsed="false">
      <c r="H55" s="187"/>
      <c r="I55" s="187"/>
      <c r="J55" s="187"/>
      <c r="K55" s="187"/>
      <c r="L55" s="187"/>
      <c r="N55" s="187"/>
      <c r="O55" s="187"/>
      <c r="P55" s="187"/>
      <c r="Q55" s="187"/>
      <c r="R55" s="187"/>
      <c r="T55" s="187"/>
      <c r="W55" s="187"/>
      <c r="X55" s="187"/>
      <c r="Z55" s="187"/>
      <c r="AA55" s="187"/>
      <c r="AB55" s="187"/>
      <c r="AC55" s="187"/>
      <c r="AD55" s="187"/>
      <c r="AE55" s="185"/>
      <c r="AF55" s="186"/>
      <c r="AG55" s="188"/>
      <c r="AH55" s="185"/>
    </row>
    <row r="56" customFormat="false" ht="13.5" hidden="false" customHeight="false" outlineLevel="0" collapsed="false">
      <c r="H56" s="187"/>
      <c r="I56" s="187"/>
      <c r="J56" s="187"/>
      <c r="K56" s="187"/>
      <c r="L56" s="187"/>
      <c r="N56" s="193" t="s">
        <v>319</v>
      </c>
      <c r="O56" s="193"/>
      <c r="P56" s="193"/>
      <c r="Q56" s="193"/>
      <c r="R56" s="193"/>
      <c r="S56" s="193"/>
      <c r="AA56" s="187"/>
      <c r="AB56" s="187"/>
      <c r="AC56" s="187"/>
      <c r="AD56" s="187"/>
      <c r="AE56" s="185"/>
      <c r="AF56" s="186"/>
      <c r="AG56" s="188"/>
      <c r="AH56" s="185"/>
    </row>
    <row r="57" customFormat="false" ht="13.5" hidden="false" customHeight="false" outlineLevel="0" collapsed="false">
      <c r="A57" s="194" t="s">
        <v>320</v>
      </c>
      <c r="H57" s="182" t="s">
        <v>321</v>
      </c>
      <c r="I57" s="182"/>
      <c r="J57" s="182"/>
      <c r="K57" s="182"/>
      <c r="L57" s="182"/>
      <c r="M57" s="182"/>
      <c r="N57" s="182" t="s">
        <v>322</v>
      </c>
      <c r="O57" s="182"/>
      <c r="P57" s="182"/>
      <c r="Q57" s="182"/>
      <c r="R57" s="182"/>
      <c r="S57" s="182"/>
      <c r="U57" s="176" t="s">
        <v>323</v>
      </c>
      <c r="AA57" s="184"/>
      <c r="AB57" s="195"/>
      <c r="AC57" s="184"/>
      <c r="AD57" s="184"/>
      <c r="AE57" s="184"/>
      <c r="AF57" s="184"/>
      <c r="AG57" s="184"/>
      <c r="AH57" s="196"/>
      <c r="AI57" s="197"/>
      <c r="AJ57" s="188"/>
      <c r="AK57" s="196"/>
      <c r="AL57" s="195"/>
      <c r="AM57" s="195"/>
    </row>
    <row r="58" customFormat="false" ht="13.5" hidden="false" customHeight="false" outlineLevel="0" collapsed="false">
      <c r="A58" s="182" t="s">
        <v>315</v>
      </c>
      <c r="B58" s="182" t="s">
        <v>324</v>
      </c>
      <c r="C58" s="182" t="s">
        <v>325</v>
      </c>
      <c r="D58" s="182" t="s">
        <v>326</v>
      </c>
      <c r="E58" s="182" t="s">
        <v>327</v>
      </c>
      <c r="F58" s="182" t="s">
        <v>328</v>
      </c>
      <c r="G58" s="182" t="s">
        <v>329</v>
      </c>
      <c r="H58" s="182" t="n">
        <f aca="false">B6</f>
        <v>2005</v>
      </c>
      <c r="I58" s="182" t="n">
        <f aca="false">C6</f>
        <v>2006</v>
      </c>
      <c r="J58" s="182" t="n">
        <f aca="false">D6</f>
        <v>2007</v>
      </c>
      <c r="K58" s="182" t="n">
        <f aca="false">E6</f>
        <v>2008</v>
      </c>
      <c r="L58" s="182" t="n">
        <f aca="false">F6</f>
        <v>2009</v>
      </c>
      <c r="M58" s="182" t="n">
        <f aca="false">G6</f>
        <v>2010</v>
      </c>
      <c r="N58" s="182" t="n">
        <f aca="false">H58</f>
        <v>2005</v>
      </c>
      <c r="O58" s="182" t="n">
        <f aca="false">I58</f>
        <v>2006</v>
      </c>
      <c r="P58" s="182" t="n">
        <f aca="false">J58</f>
        <v>2007</v>
      </c>
      <c r="Q58" s="182" t="n">
        <f aca="false">K58</f>
        <v>2008</v>
      </c>
      <c r="R58" s="182" t="n">
        <f aca="false">L58</f>
        <v>2009</v>
      </c>
      <c r="S58" s="182" t="n">
        <f aca="false">M58</f>
        <v>2010</v>
      </c>
      <c r="U58" s="176" t="n">
        <v>2005</v>
      </c>
      <c r="AA58" s="198"/>
      <c r="AB58" s="198"/>
      <c r="AC58" s="198"/>
      <c r="AD58" s="198"/>
      <c r="AE58" s="198"/>
      <c r="AF58" s="196"/>
      <c r="AG58" s="199"/>
      <c r="AH58" s="197"/>
      <c r="AI58" s="196"/>
      <c r="AJ58" s="195"/>
      <c r="AK58" s="195"/>
      <c r="AL58" s="195"/>
      <c r="AM58" s="195"/>
    </row>
    <row r="59" customFormat="false" ht="13.5" hidden="false" customHeight="false" outlineLevel="0" collapsed="false">
      <c r="A59" s="200" t="s">
        <v>330</v>
      </c>
      <c r="B59" s="200" t="s">
        <v>304</v>
      </c>
      <c r="C59" s="201" t="s">
        <v>331</v>
      </c>
      <c r="D59" s="202" t="n">
        <v>3636</v>
      </c>
      <c r="E59" s="203" t="n">
        <v>220</v>
      </c>
      <c r="F59" s="203" t="s">
        <v>332</v>
      </c>
      <c r="G59" s="203" t="n">
        <v>224400</v>
      </c>
      <c r="H59" s="204" t="n">
        <v>263833</v>
      </c>
      <c r="I59" s="204" t="n">
        <v>328930</v>
      </c>
      <c r="J59" s="204" t="n">
        <v>368955</v>
      </c>
      <c r="K59" s="204" t="n">
        <v>337856</v>
      </c>
      <c r="L59" s="204" t="n">
        <v>342209</v>
      </c>
      <c r="M59" s="204" t="n">
        <v>289700</v>
      </c>
      <c r="N59" s="204" t="n">
        <v>36599.83</v>
      </c>
      <c r="O59" s="204" t="n">
        <v>39064.38</v>
      </c>
      <c r="P59" s="204" t="n">
        <v>45776.59</v>
      </c>
      <c r="Q59" s="204" t="n">
        <v>46342.51</v>
      </c>
      <c r="R59" s="204" t="n">
        <v>52154.2</v>
      </c>
      <c r="S59" s="204" t="n">
        <v>56795.54</v>
      </c>
      <c r="T59" s="176" t="str">
        <f aca="false">A59</f>
        <v>Ajuntament Andratx</v>
      </c>
      <c r="U59" s="205" t="n">
        <f aca="false">H59+H150+H211</f>
        <v>263833</v>
      </c>
      <c r="AA59" s="206"/>
      <c r="AB59" s="206"/>
      <c r="AC59" s="206"/>
      <c r="AD59" s="206"/>
      <c r="AE59" s="206"/>
      <c r="AF59" s="196"/>
      <c r="AG59" s="199"/>
      <c r="AH59" s="197"/>
      <c r="AI59" s="196"/>
      <c r="AJ59" s="196"/>
      <c r="AK59" s="195"/>
      <c r="AL59" s="195"/>
      <c r="AM59" s="195"/>
    </row>
    <row r="60" customFormat="false" ht="13.5" hidden="false" customHeight="false" outlineLevel="0" collapsed="false">
      <c r="A60" s="200" t="s">
        <v>333</v>
      </c>
      <c r="B60" s="200" t="s">
        <v>307</v>
      </c>
      <c r="C60" s="201"/>
      <c r="D60" s="203"/>
      <c r="E60" s="203"/>
      <c r="F60" s="203" t="s">
        <v>334</v>
      </c>
      <c r="G60" s="203" t="n">
        <v>33000</v>
      </c>
      <c r="H60" s="204" t="n">
        <v>70856</v>
      </c>
      <c r="I60" s="204" t="n">
        <v>45084</v>
      </c>
      <c r="J60" s="204" t="n">
        <v>54132</v>
      </c>
      <c r="K60" s="204" t="n">
        <v>26321</v>
      </c>
      <c r="L60" s="204" t="n">
        <v>28688</v>
      </c>
      <c r="M60" s="204" t="n">
        <v>22320</v>
      </c>
      <c r="N60" s="204" t="n">
        <v>9676.99</v>
      </c>
      <c r="O60" s="204" t="n">
        <v>8165.4</v>
      </c>
      <c r="P60" s="204" t="n">
        <v>9134.49</v>
      </c>
      <c r="Q60" s="204" t="n">
        <v>5137.37</v>
      </c>
      <c r="R60" s="204" t="n">
        <v>5410.75</v>
      </c>
      <c r="S60" s="204" t="n">
        <v>5183.88</v>
      </c>
      <c r="T60" s="176" t="str">
        <f aca="false">A60</f>
        <v>Poliesportiu municipal Es vinyet</v>
      </c>
      <c r="U60" s="205" t="n">
        <f aca="false">H60+H151+H212</f>
        <v>149693.209302326</v>
      </c>
      <c r="AA60" s="206"/>
      <c r="AB60" s="206"/>
      <c r="AC60" s="206"/>
      <c r="AD60" s="206"/>
      <c r="AE60" s="206"/>
      <c r="AF60" s="196"/>
      <c r="AG60" s="199"/>
      <c r="AH60" s="197"/>
      <c r="AI60" s="196"/>
      <c r="AJ60" s="196"/>
      <c r="AK60" s="195"/>
      <c r="AL60" s="195"/>
      <c r="AM60" s="195"/>
    </row>
    <row r="61" customFormat="false" ht="13.5" hidden="false" customHeight="false" outlineLevel="0" collapsed="false">
      <c r="A61" s="200" t="s">
        <v>335</v>
      </c>
      <c r="B61" s="200" t="s">
        <v>307</v>
      </c>
      <c r="C61" s="201" t="s">
        <v>331</v>
      </c>
      <c r="D61" s="203" t="n">
        <v>7543</v>
      </c>
      <c r="E61" s="203" t="n">
        <v>50</v>
      </c>
      <c r="F61" s="203" t="s">
        <v>336</v>
      </c>
      <c r="G61" s="203" t="n">
        <v>55000</v>
      </c>
      <c r="H61" s="204" t="n">
        <v>69060</v>
      </c>
      <c r="I61" s="204" t="n">
        <v>60540</v>
      </c>
      <c r="J61" s="204" t="n">
        <v>68600</v>
      </c>
      <c r="K61" s="204" t="n">
        <v>74560</v>
      </c>
      <c r="L61" s="204" t="n">
        <v>58821</v>
      </c>
      <c r="M61" s="204" t="n">
        <v>60736</v>
      </c>
      <c r="N61" s="204" t="n">
        <v>8549.64</v>
      </c>
      <c r="O61" s="204" t="n">
        <v>7824.39</v>
      </c>
      <c r="P61" s="204" t="n">
        <v>9310.14</v>
      </c>
      <c r="Q61" s="204" t="n">
        <v>11110.26</v>
      </c>
      <c r="R61" s="204" t="n">
        <v>10089.66</v>
      </c>
      <c r="S61" s="204" t="n">
        <v>12818.68</v>
      </c>
      <c r="T61" s="176" t="str">
        <f aca="false">A61</f>
        <v>Camp municipal Sa Plana</v>
      </c>
      <c r="U61" s="205" t="n">
        <f aca="false">H61+H152+H213</f>
        <v>107164.651162791</v>
      </c>
      <c r="AA61" s="206"/>
      <c r="AB61" s="206"/>
      <c r="AC61" s="206"/>
      <c r="AD61" s="206"/>
      <c r="AE61" s="206"/>
      <c r="AF61" s="196"/>
      <c r="AG61" s="199"/>
      <c r="AH61" s="197"/>
      <c r="AI61" s="196"/>
      <c r="AJ61" s="196"/>
      <c r="AK61" s="195"/>
      <c r="AL61" s="195"/>
      <c r="AM61" s="195"/>
    </row>
    <row r="62" customFormat="false" ht="13.5" hidden="false" customHeight="false" outlineLevel="0" collapsed="false">
      <c r="A62" s="200" t="s">
        <v>337</v>
      </c>
      <c r="B62" s="200" t="s">
        <v>311</v>
      </c>
      <c r="C62" s="201"/>
      <c r="D62" s="203"/>
      <c r="E62" s="203"/>
      <c r="F62" s="203" t="s">
        <v>338</v>
      </c>
      <c r="G62" s="203" t="n">
        <v>8800</v>
      </c>
      <c r="H62" s="204" t="n">
        <v>8998</v>
      </c>
      <c r="I62" s="204" t="n">
        <v>7689</v>
      </c>
      <c r="J62" s="204" t="n">
        <v>8018</v>
      </c>
      <c r="K62" s="204" t="n">
        <v>7567</v>
      </c>
      <c r="L62" s="204" t="n">
        <v>7320</v>
      </c>
      <c r="M62" s="204" t="n">
        <v>6111</v>
      </c>
      <c r="N62" s="204" t="n">
        <v>816.2</v>
      </c>
      <c r="O62" s="204" t="n">
        <v>759.89</v>
      </c>
      <c r="P62" s="204" t="n">
        <v>1015.78</v>
      </c>
      <c r="Q62" s="204" t="n">
        <v>1178.06</v>
      </c>
      <c r="R62" s="204" t="n">
        <v>1186.48</v>
      </c>
      <c r="S62" s="204" t="n">
        <v>1235.18</v>
      </c>
      <c r="T62" s="176" t="str">
        <f aca="false">A62</f>
        <v>Cementiri s'Arracó</v>
      </c>
      <c r="U62" s="205" t="n">
        <f aca="false">H62+H153+H214</f>
        <v>8998</v>
      </c>
      <c r="AA62" s="206"/>
      <c r="AB62" s="206"/>
      <c r="AC62" s="206"/>
      <c r="AD62" s="206"/>
      <c r="AE62" s="206"/>
      <c r="AF62" s="196"/>
      <c r="AG62" s="199"/>
      <c r="AH62" s="197"/>
      <c r="AI62" s="196"/>
      <c r="AJ62" s="196"/>
      <c r="AK62" s="195"/>
      <c r="AL62" s="195"/>
      <c r="AM62" s="195"/>
    </row>
    <row r="63" customFormat="false" ht="13.5" hidden="false" customHeight="false" outlineLevel="0" collapsed="false">
      <c r="A63" s="200" t="s">
        <v>339</v>
      </c>
      <c r="B63" s="200" t="s">
        <v>305</v>
      </c>
      <c r="C63" s="201"/>
      <c r="D63" s="203"/>
      <c r="E63" s="203"/>
      <c r="F63" s="203" t="s">
        <v>340</v>
      </c>
      <c r="G63" s="203" t="n">
        <v>9900</v>
      </c>
      <c r="H63" s="204" t="n">
        <v>10948</v>
      </c>
      <c r="I63" s="204" t="n">
        <v>8964</v>
      </c>
      <c r="J63" s="204" t="n">
        <v>7103</v>
      </c>
      <c r="K63" s="204" t="n">
        <v>5691</v>
      </c>
      <c r="L63" s="204" t="n">
        <v>10393</v>
      </c>
      <c r="M63" s="204" t="n">
        <v>10142</v>
      </c>
      <c r="N63" s="204" t="n">
        <v>1394.29</v>
      </c>
      <c r="O63" s="204" t="n">
        <v>1225.28</v>
      </c>
      <c r="P63" s="204" t="n">
        <v>1053.39</v>
      </c>
      <c r="Q63" s="204" t="n">
        <v>950.96</v>
      </c>
      <c r="R63" s="204" t="n">
        <v>1844.67</v>
      </c>
      <c r="S63" s="204" t="n">
        <v>1864.79</v>
      </c>
      <c r="T63" s="176" t="str">
        <f aca="false">A63</f>
        <v>Col·legi</v>
      </c>
      <c r="U63" s="205" t="n">
        <f aca="false">H63+H154+H215</f>
        <v>10948</v>
      </c>
      <c r="AA63" s="206"/>
      <c r="AB63" s="206"/>
      <c r="AC63" s="206"/>
      <c r="AD63" s="206"/>
      <c r="AE63" s="206"/>
      <c r="AF63" s="196"/>
      <c r="AG63" s="199"/>
      <c r="AH63" s="197"/>
      <c r="AI63" s="196"/>
      <c r="AJ63" s="196"/>
      <c r="AK63" s="195"/>
      <c r="AL63" s="195"/>
      <c r="AM63" s="195"/>
    </row>
    <row r="64" customFormat="false" ht="13.5" hidden="false" customHeight="false" outlineLevel="0" collapsed="false">
      <c r="A64" s="200" t="s">
        <v>341</v>
      </c>
      <c r="B64" s="200" t="s">
        <v>306</v>
      </c>
      <c r="C64" s="201" t="s">
        <v>331</v>
      </c>
      <c r="D64" s="203" t="n">
        <v>5676</v>
      </c>
      <c r="E64" s="203" t="n">
        <v>300</v>
      </c>
      <c r="F64" s="203" t="s">
        <v>342</v>
      </c>
      <c r="G64" s="203" t="n">
        <v>196350</v>
      </c>
      <c r="H64" s="204" t="n">
        <v>397360</v>
      </c>
      <c r="I64" s="204" t="n">
        <v>362720</v>
      </c>
      <c r="J64" s="204" t="n">
        <v>380080</v>
      </c>
      <c r="K64" s="204" t="n">
        <v>361040</v>
      </c>
      <c r="L64" s="204" t="n">
        <v>302602</v>
      </c>
      <c r="M64" s="204" t="n">
        <v>330494</v>
      </c>
      <c r="N64" s="204" t="n">
        <v>49940.09</v>
      </c>
      <c r="O64" s="204" t="n">
        <v>49919.35</v>
      </c>
      <c r="P64" s="204" t="n">
        <v>56390.52</v>
      </c>
      <c r="Q64" s="204" t="n">
        <v>57702.03</v>
      </c>
      <c r="R64" s="204" t="n">
        <v>53759.79</v>
      </c>
      <c r="S64" s="204" t="n">
        <v>70120.32</v>
      </c>
      <c r="T64" s="176" t="str">
        <f aca="false">A64</f>
        <v>Palau d'esports</v>
      </c>
      <c r="U64" s="205" t="n">
        <f aca="false">H64+H155+H216</f>
        <v>1121875.57209302</v>
      </c>
      <c r="AA64" s="206"/>
      <c r="AB64" s="206"/>
      <c r="AC64" s="206"/>
      <c r="AD64" s="206"/>
      <c r="AE64" s="206"/>
      <c r="AF64" s="196"/>
      <c r="AG64" s="199"/>
      <c r="AH64" s="197"/>
      <c r="AI64" s="196"/>
      <c r="AJ64" s="196"/>
      <c r="AK64" s="195"/>
      <c r="AL64" s="195"/>
      <c r="AM64" s="195"/>
    </row>
    <row r="65" customFormat="false" ht="13.5" hidden="false" customHeight="false" outlineLevel="0" collapsed="false">
      <c r="A65" s="200" t="s">
        <v>343</v>
      </c>
      <c r="B65" s="200" t="s">
        <v>305</v>
      </c>
      <c r="C65" s="201"/>
      <c r="D65" s="203" t="n">
        <v>469</v>
      </c>
      <c r="E65" s="203"/>
      <c r="F65" s="203" t="s">
        <v>344</v>
      </c>
      <c r="G65" s="203" t="n">
        <v>90000</v>
      </c>
      <c r="H65" s="204" t="n">
        <v>36235</v>
      </c>
      <c r="I65" s="204" t="n">
        <v>42857</v>
      </c>
      <c r="J65" s="204" t="n">
        <v>33480</v>
      </c>
      <c r="K65" s="204" t="n">
        <v>46520</v>
      </c>
      <c r="L65" s="204" t="n">
        <v>44871</v>
      </c>
      <c r="M65" s="204" t="n">
        <v>26869</v>
      </c>
      <c r="N65" s="204" t="n">
        <v>7619.72</v>
      </c>
      <c r="O65" s="204" t="n">
        <v>8194.91</v>
      </c>
      <c r="P65" s="204" t="n">
        <v>7824.17</v>
      </c>
      <c r="Q65" s="204" t="n">
        <v>9134.27</v>
      </c>
      <c r="R65" s="204" t="n">
        <v>9577.97</v>
      </c>
      <c r="S65" s="204" t="n">
        <v>8432.21</v>
      </c>
      <c r="T65" s="176" t="str">
        <f aca="false">A65</f>
        <v>Escola de música</v>
      </c>
      <c r="U65" s="205" t="n">
        <f aca="false">H65+H156+H217</f>
        <v>36235</v>
      </c>
      <c r="AA65" s="206"/>
      <c r="AB65" s="206"/>
      <c r="AC65" s="206"/>
      <c r="AD65" s="206"/>
      <c r="AE65" s="206"/>
      <c r="AF65" s="196"/>
      <c r="AG65" s="199"/>
      <c r="AH65" s="197"/>
      <c r="AI65" s="196"/>
      <c r="AJ65" s="196"/>
      <c r="AK65" s="195"/>
      <c r="AL65" s="195"/>
      <c r="AM65" s="195"/>
    </row>
    <row r="66" customFormat="false" ht="13.5" hidden="false" customHeight="false" outlineLevel="0" collapsed="false">
      <c r="A66" s="200" t="s">
        <v>345</v>
      </c>
      <c r="B66" s="200" t="s">
        <v>311</v>
      </c>
      <c r="C66" s="201"/>
      <c r="D66" s="203" t="n">
        <v>2949</v>
      </c>
      <c r="E66" s="203"/>
      <c r="F66" s="203" t="s">
        <v>346</v>
      </c>
      <c r="G66" s="203" t="n">
        <v>34641</v>
      </c>
      <c r="H66" s="204"/>
      <c r="I66" s="204" t="n">
        <v>5779</v>
      </c>
      <c r="J66" s="204" t="n">
        <v>21307</v>
      </c>
      <c r="K66" s="204" t="n">
        <v>22286</v>
      </c>
      <c r="L66" s="204" t="n">
        <v>22104</v>
      </c>
      <c r="M66" s="204" t="n">
        <v>23301</v>
      </c>
      <c r="N66" s="204" t="n">
        <v>0</v>
      </c>
      <c r="O66" s="204" t="n">
        <v>1754.7</v>
      </c>
      <c r="P66" s="204" t="n">
        <v>3162.96</v>
      </c>
      <c r="Q66" s="204" t="n">
        <v>3456.5</v>
      </c>
      <c r="R66" s="204" t="n">
        <v>3804.07</v>
      </c>
      <c r="S66" s="204" t="n">
        <v>4632.49</v>
      </c>
      <c r="T66" s="176" t="str">
        <f aca="false">A66</f>
        <v>Cementeri municipal Andratx</v>
      </c>
      <c r="U66" s="205" t="n">
        <f aca="false">H66+H157+H218</f>
        <v>0</v>
      </c>
      <c r="AA66" s="206"/>
      <c r="AB66" s="206"/>
      <c r="AC66" s="206"/>
      <c r="AD66" s="206"/>
      <c r="AE66" s="206"/>
      <c r="AF66" s="196"/>
      <c r="AG66" s="199"/>
      <c r="AH66" s="197"/>
      <c r="AI66" s="196"/>
      <c r="AJ66" s="196"/>
      <c r="AK66" s="195"/>
      <c r="AL66" s="195"/>
      <c r="AM66" s="195"/>
    </row>
    <row r="67" customFormat="false" ht="13.5" hidden="false" customHeight="false" outlineLevel="0" collapsed="false">
      <c r="A67" s="200" t="s">
        <v>347</v>
      </c>
      <c r="B67" s="200" t="s">
        <v>311</v>
      </c>
      <c r="C67" s="201"/>
      <c r="D67" s="207" t="n">
        <v>444</v>
      </c>
      <c r="E67" s="203"/>
      <c r="F67" s="203" t="s">
        <v>348</v>
      </c>
      <c r="G67" s="203" t="n">
        <v>4400</v>
      </c>
      <c r="H67" s="204"/>
      <c r="I67" s="204" t="n">
        <v>4527</v>
      </c>
      <c r="J67" s="204" t="n">
        <v>9228</v>
      </c>
      <c r="K67" s="204" t="n">
        <v>5958</v>
      </c>
      <c r="L67" s="204" t="n">
        <v>5288</v>
      </c>
      <c r="M67" s="204" t="n">
        <v>3419</v>
      </c>
      <c r="N67" s="204" t="n">
        <v>0</v>
      </c>
      <c r="O67" s="204" t="n">
        <v>676.1</v>
      </c>
      <c r="P67" s="204" t="n">
        <v>1160.07</v>
      </c>
      <c r="Q67" s="204" t="n">
        <v>839.25</v>
      </c>
      <c r="R67" s="204" t="n">
        <v>845.55</v>
      </c>
      <c r="S67" s="204" t="n">
        <v>620.99</v>
      </c>
      <c r="T67" s="176" t="str">
        <f aca="false">A67</f>
        <v>Parc verd</v>
      </c>
      <c r="U67" s="205" t="n">
        <f aca="false">H67+H158+H219</f>
        <v>0</v>
      </c>
      <c r="AA67" s="206"/>
      <c r="AB67" s="206"/>
      <c r="AC67" s="206"/>
      <c r="AD67" s="206"/>
      <c r="AE67" s="206"/>
      <c r="AF67" s="196"/>
      <c r="AG67" s="199"/>
      <c r="AH67" s="197"/>
      <c r="AI67" s="196"/>
      <c r="AJ67" s="196"/>
      <c r="AK67" s="195"/>
      <c r="AL67" s="195"/>
      <c r="AM67" s="195"/>
    </row>
    <row r="68" customFormat="false" ht="13.5" hidden="false" customHeight="false" outlineLevel="0" collapsed="false">
      <c r="A68" s="200" t="s">
        <v>349</v>
      </c>
      <c r="B68" s="200" t="s">
        <v>311</v>
      </c>
      <c r="C68" s="201" t="s">
        <v>331</v>
      </c>
      <c r="D68" s="207" t="n">
        <v>683</v>
      </c>
      <c r="E68" s="203" t="n">
        <v>53</v>
      </c>
      <c r="F68" s="203" t="s">
        <v>350</v>
      </c>
      <c r="G68" s="203" t="n">
        <v>70000</v>
      </c>
      <c r="H68" s="204" t="n">
        <v>86620</v>
      </c>
      <c r="I68" s="204" t="n">
        <v>87780</v>
      </c>
      <c r="J68" s="204" t="n">
        <v>44260</v>
      </c>
      <c r="K68" s="204" t="n">
        <v>23571</v>
      </c>
      <c r="L68" s="204" t="n">
        <v>55749</v>
      </c>
      <c r="M68" s="204" t="n">
        <v>20575</v>
      </c>
      <c r="N68" s="204" t="n">
        <v>10683.17</v>
      </c>
      <c r="O68" s="204" t="n">
        <v>10936.01</v>
      </c>
      <c r="P68" s="204" t="n">
        <v>6435.54</v>
      </c>
      <c r="Q68" s="204" t="n">
        <v>4556.79</v>
      </c>
      <c r="R68" s="204" t="n">
        <v>10469.73</v>
      </c>
      <c r="S68" s="204" t="n">
        <v>5385.13</v>
      </c>
      <c r="T68" s="176" t="str">
        <f aca="false">A68</f>
        <v>Biblioteca </v>
      </c>
      <c r="U68" s="205" t="n">
        <f aca="false">H68+H159+H220</f>
        <v>86620</v>
      </c>
      <c r="AA68" s="206"/>
      <c r="AB68" s="206"/>
      <c r="AC68" s="206"/>
      <c r="AD68" s="206"/>
      <c r="AE68" s="206"/>
      <c r="AF68" s="196"/>
      <c r="AG68" s="199"/>
      <c r="AH68" s="197"/>
      <c r="AI68" s="196"/>
      <c r="AJ68" s="196"/>
      <c r="AK68" s="195"/>
      <c r="AL68" s="195"/>
      <c r="AM68" s="195"/>
    </row>
    <row r="69" customFormat="false" ht="13.5" hidden="false" customHeight="false" outlineLevel="0" collapsed="false">
      <c r="A69" s="200" t="s">
        <v>351</v>
      </c>
      <c r="B69" s="200" t="s">
        <v>311</v>
      </c>
      <c r="C69" s="201"/>
      <c r="D69" s="207" t="n">
        <v>938</v>
      </c>
      <c r="E69" s="203"/>
      <c r="F69" s="203" t="s">
        <v>352</v>
      </c>
      <c r="G69" s="203" t="n">
        <v>8800</v>
      </c>
      <c r="H69" s="204" t="n">
        <v>6997</v>
      </c>
      <c r="I69" s="204" t="n">
        <v>7656</v>
      </c>
      <c r="J69" s="204" t="n">
        <v>9897</v>
      </c>
      <c r="K69" s="204" t="n">
        <v>8967</v>
      </c>
      <c r="L69" s="204" t="n">
        <v>10383</v>
      </c>
      <c r="M69" s="204" t="n">
        <v>8183</v>
      </c>
      <c r="N69" s="204" t="n">
        <v>929.56</v>
      </c>
      <c r="O69" s="204" t="n">
        <v>1026.21</v>
      </c>
      <c r="P69" s="204" t="n">
        <v>1342.56</v>
      </c>
      <c r="Q69" s="204" t="n">
        <v>1336.79</v>
      </c>
      <c r="R69" s="204" t="n">
        <v>1728.41</v>
      </c>
      <c r="S69" s="204" t="n">
        <v>1533.08</v>
      </c>
      <c r="T69" s="176" t="str">
        <f aca="false">A69</f>
        <v>Local cultural</v>
      </c>
      <c r="U69" s="205" t="n">
        <f aca="false">H69+H160+H221</f>
        <v>6997</v>
      </c>
      <c r="AA69" s="206"/>
      <c r="AB69" s="206"/>
      <c r="AC69" s="206"/>
      <c r="AD69" s="206"/>
      <c r="AE69" s="206"/>
      <c r="AF69" s="196"/>
      <c r="AG69" s="199"/>
      <c r="AH69" s="197"/>
      <c r="AI69" s="196"/>
      <c r="AJ69" s="196"/>
      <c r="AK69" s="195"/>
      <c r="AL69" s="195"/>
      <c r="AM69" s="195"/>
    </row>
    <row r="70" customFormat="false" ht="13.5" hidden="false" customHeight="false" outlineLevel="0" collapsed="false">
      <c r="A70" s="200" t="s">
        <v>353</v>
      </c>
      <c r="B70" s="200" t="s">
        <v>311</v>
      </c>
      <c r="C70" s="201"/>
      <c r="D70" s="203" t="n">
        <v>621</v>
      </c>
      <c r="E70" s="203"/>
      <c r="F70" s="203" t="s">
        <v>354</v>
      </c>
      <c r="G70" s="203" t="n">
        <v>4600</v>
      </c>
      <c r="H70" s="204"/>
      <c r="I70" s="204" t="n">
        <v>0</v>
      </c>
      <c r="J70" s="204" t="n">
        <v>0</v>
      </c>
      <c r="K70" s="204" t="n">
        <v>0</v>
      </c>
      <c r="L70" s="204" t="n">
        <v>787</v>
      </c>
      <c r="M70" s="204" t="n">
        <v>46357</v>
      </c>
      <c r="N70" s="204" t="n">
        <v>0</v>
      </c>
      <c r="O70" s="204" t="n">
        <v>0</v>
      </c>
      <c r="P70" s="204" t="n">
        <v>0</v>
      </c>
      <c r="Q70" s="204" t="n">
        <v>0</v>
      </c>
      <c r="R70" s="204" t="n">
        <v>421.95</v>
      </c>
      <c r="S70" s="204" t="n">
        <v>11060.8</v>
      </c>
      <c r="T70" s="176" t="str">
        <f aca="false">A70</f>
        <v>Centre de dia</v>
      </c>
      <c r="U70" s="205" t="n">
        <f aca="false">H70+H161+H222</f>
        <v>0</v>
      </c>
      <c r="AA70" s="206"/>
      <c r="AB70" s="206"/>
      <c r="AC70" s="206"/>
      <c r="AD70" s="206"/>
      <c r="AE70" s="206"/>
      <c r="AF70" s="196"/>
      <c r="AG70" s="199"/>
      <c r="AH70" s="197"/>
      <c r="AI70" s="196"/>
      <c r="AJ70" s="196"/>
      <c r="AK70" s="195"/>
      <c r="AL70" s="195"/>
      <c r="AM70" s="195"/>
    </row>
    <row r="71" customFormat="false" ht="13.5" hidden="false" customHeight="false" outlineLevel="0" collapsed="false">
      <c r="A71" s="200" t="s">
        <v>355</v>
      </c>
      <c r="B71" s="200" t="s">
        <v>304</v>
      </c>
      <c r="C71" s="201"/>
      <c r="D71" s="207" t="n">
        <v>368</v>
      </c>
      <c r="E71" s="203"/>
      <c r="F71" s="203" t="s">
        <v>356</v>
      </c>
      <c r="G71" s="203" t="n">
        <v>33000</v>
      </c>
      <c r="H71" s="204" t="n">
        <v>7475</v>
      </c>
      <c r="I71" s="204" t="n">
        <v>4701</v>
      </c>
      <c r="J71" s="204" t="n">
        <v>4556</v>
      </c>
      <c r="K71" s="204" t="n">
        <v>2326</v>
      </c>
      <c r="L71" s="204" t="n">
        <v>105</v>
      </c>
      <c r="M71" s="204" t="n">
        <v>18</v>
      </c>
      <c r="N71" s="204" t="n">
        <v>1770.09</v>
      </c>
      <c r="O71" s="204" t="n">
        <v>1432.73</v>
      </c>
      <c r="P71" s="204" t="n">
        <v>1566.04</v>
      </c>
      <c r="Q71" s="204" t="n">
        <v>1191.07</v>
      </c>
      <c r="R71" s="204" t="n">
        <v>944.86</v>
      </c>
      <c r="S71" s="204" t="n">
        <v>984</v>
      </c>
      <c r="T71" s="176" t="str">
        <f aca="false">A71</f>
        <v>Oficines</v>
      </c>
      <c r="U71" s="205" t="n">
        <f aca="false">H71+H162+H223</f>
        <v>7475</v>
      </c>
      <c r="AA71" s="206"/>
      <c r="AB71" s="206"/>
      <c r="AC71" s="206"/>
      <c r="AD71" s="206"/>
      <c r="AE71" s="206"/>
      <c r="AF71" s="196"/>
      <c r="AG71" s="199"/>
      <c r="AH71" s="197"/>
      <c r="AI71" s="196"/>
      <c r="AJ71" s="196"/>
      <c r="AK71" s="195"/>
      <c r="AL71" s="195"/>
      <c r="AM71" s="195"/>
    </row>
    <row r="72" customFormat="false" ht="13.5" hidden="false" customHeight="false" outlineLevel="0" collapsed="false">
      <c r="A72" s="200" t="s">
        <v>357</v>
      </c>
      <c r="B72" s="200" t="s">
        <v>311</v>
      </c>
      <c r="C72" s="201"/>
      <c r="D72" s="203" t="n">
        <v>512</v>
      </c>
      <c r="E72" s="203"/>
      <c r="F72" s="203" t="s">
        <v>358</v>
      </c>
      <c r="G72" s="203" t="n">
        <v>23100</v>
      </c>
      <c r="H72" s="204" t="n">
        <v>3335</v>
      </c>
      <c r="I72" s="204" t="n">
        <v>1789</v>
      </c>
      <c r="J72" s="204" t="n">
        <v>3361</v>
      </c>
      <c r="K72" s="204" t="n">
        <v>2252</v>
      </c>
      <c r="L72" s="204" t="n">
        <v>612</v>
      </c>
      <c r="M72" s="204" t="n">
        <v>15</v>
      </c>
      <c r="N72" s="204" t="n">
        <v>1104.56</v>
      </c>
      <c r="O72" s="204" t="n">
        <v>973.18</v>
      </c>
      <c r="P72" s="204" t="n">
        <v>1240.35</v>
      </c>
      <c r="Q72" s="204" t="n">
        <v>978.48</v>
      </c>
      <c r="R72" s="204" t="n">
        <v>762.05</v>
      </c>
      <c r="S72" s="204" t="n">
        <v>732.98</v>
      </c>
      <c r="T72" s="176" t="str">
        <f aca="false">A72</f>
        <v>Cultural</v>
      </c>
      <c r="U72" s="205" t="n">
        <f aca="false">H72+H163+H224</f>
        <v>3335</v>
      </c>
      <c r="AA72" s="206"/>
      <c r="AB72" s="206"/>
      <c r="AC72" s="206"/>
      <c r="AD72" s="206"/>
      <c r="AE72" s="206"/>
      <c r="AF72" s="196"/>
      <c r="AG72" s="195"/>
      <c r="AH72" s="195"/>
      <c r="AI72" s="196"/>
      <c r="AJ72" s="196"/>
      <c r="AK72" s="195"/>
      <c r="AL72" s="195"/>
      <c r="AM72" s="195"/>
    </row>
    <row r="73" customFormat="false" ht="13.5" hidden="false" customHeight="false" outlineLevel="0" collapsed="false">
      <c r="A73" s="200" t="s">
        <v>359</v>
      </c>
      <c r="B73" s="200" t="s">
        <v>311</v>
      </c>
      <c r="C73" s="201"/>
      <c r="D73" s="203" t="n">
        <v>837</v>
      </c>
      <c r="E73" s="203"/>
      <c r="F73" s="203" t="s">
        <v>360</v>
      </c>
      <c r="G73" s="203" t="n">
        <v>49500</v>
      </c>
      <c r="H73" s="204" t="n">
        <v>19922</v>
      </c>
      <c r="I73" s="204" t="n">
        <v>9660</v>
      </c>
      <c r="J73" s="204" t="n">
        <v>15096</v>
      </c>
      <c r="K73" s="204" t="n">
        <v>14380</v>
      </c>
      <c r="L73" s="204" t="n">
        <v>16941</v>
      </c>
      <c r="M73" s="204" t="n">
        <v>13471</v>
      </c>
      <c r="N73" s="204" t="n">
        <v>3701.08</v>
      </c>
      <c r="O73" s="204" t="n">
        <v>2388.87</v>
      </c>
      <c r="P73" s="204" t="n">
        <v>3412.31</v>
      </c>
      <c r="Q73" s="204" t="n">
        <v>3298.22</v>
      </c>
      <c r="R73" s="204" t="n">
        <v>3759.07</v>
      </c>
      <c r="S73" s="204" t="n">
        <v>3816.63</v>
      </c>
      <c r="T73" s="176" t="str">
        <f aca="false">A73</f>
        <v>Teatre municipal</v>
      </c>
      <c r="U73" s="205" t="n">
        <f aca="false">H73+H164+H225</f>
        <v>19922</v>
      </c>
      <c r="AA73" s="206"/>
      <c r="AB73" s="206"/>
      <c r="AC73" s="206"/>
      <c r="AD73" s="206"/>
      <c r="AE73" s="206"/>
      <c r="AF73" s="196"/>
      <c r="AG73" s="196"/>
      <c r="AH73" s="196"/>
      <c r="AI73" s="196"/>
      <c r="AJ73" s="196"/>
      <c r="AK73" s="195"/>
      <c r="AL73" s="195"/>
      <c r="AM73" s="195"/>
    </row>
    <row r="74" customFormat="false" ht="13.5" hidden="false" customHeight="false" outlineLevel="0" collapsed="false">
      <c r="A74" s="200" t="s">
        <v>361</v>
      </c>
      <c r="B74" s="200" t="s">
        <v>305</v>
      </c>
      <c r="C74" s="201"/>
      <c r="D74" s="203" t="n">
        <v>2393</v>
      </c>
      <c r="E74" s="203"/>
      <c r="F74" s="203" t="s">
        <v>362</v>
      </c>
      <c r="G74" s="203" t="n">
        <v>105000</v>
      </c>
      <c r="H74" s="204" t="n">
        <v>114400</v>
      </c>
      <c r="I74" s="204" t="n">
        <v>117320</v>
      </c>
      <c r="J74" s="204" t="n">
        <v>113200</v>
      </c>
      <c r="K74" s="204" t="n">
        <v>109732</v>
      </c>
      <c r="L74" s="204" t="n">
        <v>127528</v>
      </c>
      <c r="M74" s="204" t="n">
        <v>135597</v>
      </c>
      <c r="N74" s="204" t="n">
        <v>15303.92</v>
      </c>
      <c r="O74" s="204" t="n">
        <v>16282.68</v>
      </c>
      <c r="P74" s="204" t="n">
        <v>16980.58</v>
      </c>
      <c r="Q74" s="204" t="n">
        <v>17457.64</v>
      </c>
      <c r="R74" s="204" t="n">
        <v>21571.14</v>
      </c>
      <c r="S74" s="204" t="n">
        <v>26914.22</v>
      </c>
      <c r="T74" s="176" t="str">
        <f aca="false">A74</f>
        <v>Escoleta municipal</v>
      </c>
      <c r="U74" s="205" t="n">
        <f aca="false">H74+H165+H226</f>
        <v>114400</v>
      </c>
      <c r="AA74" s="206"/>
      <c r="AB74" s="206"/>
      <c r="AC74" s="206"/>
      <c r="AD74" s="206"/>
      <c r="AE74" s="206"/>
      <c r="AF74" s="196"/>
      <c r="AG74" s="196"/>
      <c r="AH74" s="196"/>
      <c r="AI74" s="196"/>
      <c r="AJ74" s="196"/>
      <c r="AK74" s="195"/>
      <c r="AL74" s="208"/>
      <c r="AM74" s="195"/>
    </row>
    <row r="75" customFormat="false" ht="13.5" hidden="false" customHeight="false" outlineLevel="0" collapsed="false">
      <c r="A75" s="200" t="s">
        <v>363</v>
      </c>
      <c r="B75" s="200" t="s">
        <v>247</v>
      </c>
      <c r="C75" s="201"/>
      <c r="D75" s="203" t="n">
        <v>144</v>
      </c>
      <c r="E75" s="203"/>
      <c r="F75" s="203" t="s">
        <v>364</v>
      </c>
      <c r="G75" s="203" t="n">
        <v>33000</v>
      </c>
      <c r="H75" s="204" t="n">
        <v>114223</v>
      </c>
      <c r="I75" s="204" t="n">
        <v>88933</v>
      </c>
      <c r="J75" s="204" t="n">
        <v>128079</v>
      </c>
      <c r="K75" s="204" t="n">
        <v>85962</v>
      </c>
      <c r="L75" s="204" t="n">
        <v>99787</v>
      </c>
      <c r="M75" s="204" t="n">
        <v>87732</v>
      </c>
      <c r="N75" s="204" t="n">
        <v>15006.3</v>
      </c>
      <c r="O75" s="204" t="n">
        <v>12748.62</v>
      </c>
      <c r="P75" s="204" t="n">
        <v>19605.46</v>
      </c>
      <c r="Q75" s="204" t="n">
        <v>11761.64</v>
      </c>
      <c r="R75" s="204" t="n">
        <v>15377.15</v>
      </c>
      <c r="S75" s="204" t="n">
        <v>16806.55</v>
      </c>
      <c r="T75" s="176" t="str">
        <f aca="false">A75</f>
        <v>Residencial</v>
      </c>
      <c r="U75" s="205" t="n">
        <f aca="false">H75+H166+H227</f>
        <v>114223</v>
      </c>
      <c r="AA75" s="206"/>
      <c r="AB75" s="206"/>
      <c r="AC75" s="206"/>
      <c r="AD75" s="206"/>
      <c r="AE75" s="206"/>
      <c r="AF75" s="196"/>
      <c r="AG75" s="196"/>
      <c r="AH75" s="196"/>
      <c r="AI75" s="196"/>
      <c r="AJ75" s="196"/>
      <c r="AK75" s="195"/>
      <c r="AL75" s="208"/>
      <c r="AM75" s="195"/>
    </row>
    <row r="76" customFormat="false" ht="13.5" hidden="false" customHeight="false" outlineLevel="0" collapsed="false">
      <c r="A76" s="200" t="s">
        <v>365</v>
      </c>
      <c r="B76" s="200" t="s">
        <v>306</v>
      </c>
      <c r="C76" s="201" t="s">
        <v>331</v>
      </c>
      <c r="D76" s="207" t="n">
        <v>5488</v>
      </c>
      <c r="E76" s="203" t="n">
        <v>50</v>
      </c>
      <c r="F76" s="203" t="s">
        <v>366</v>
      </c>
      <c r="G76" s="203" t="n">
        <v>33000</v>
      </c>
      <c r="H76" s="204" t="n">
        <v>64674</v>
      </c>
      <c r="I76" s="204" t="n">
        <v>49958</v>
      </c>
      <c r="J76" s="204" t="n">
        <v>44158</v>
      </c>
      <c r="K76" s="204" t="n">
        <v>38677</v>
      </c>
      <c r="L76" s="204" t="n">
        <v>40751</v>
      </c>
      <c r="M76" s="204" t="n">
        <v>41219</v>
      </c>
      <c r="N76" s="204" t="n">
        <v>7990.77</v>
      </c>
      <c r="O76" s="204" t="n">
        <v>6727.17</v>
      </c>
      <c r="P76" s="204" t="n">
        <v>6403.85</v>
      </c>
      <c r="Q76" s="204" t="n">
        <v>6641.62</v>
      </c>
      <c r="R76" s="204" t="n">
        <v>8349.73</v>
      </c>
      <c r="S76" s="204" t="n">
        <v>9882.77</v>
      </c>
      <c r="T76" s="176" t="str">
        <f aca="false">A76</f>
        <v>Camp municipal s'Arracó</v>
      </c>
      <c r="U76" s="205" t="n">
        <f aca="false">H76+H167+H228</f>
        <v>84383.3023255814</v>
      </c>
      <c r="AA76" s="206"/>
      <c r="AB76" s="206"/>
      <c r="AC76" s="206"/>
      <c r="AD76" s="206"/>
      <c r="AE76" s="206"/>
      <c r="AF76" s="196"/>
      <c r="AG76" s="196"/>
      <c r="AH76" s="196"/>
      <c r="AI76" s="196"/>
      <c r="AJ76" s="196"/>
      <c r="AK76" s="195"/>
      <c r="AL76" s="208"/>
      <c r="AM76" s="195"/>
    </row>
    <row r="77" customFormat="false" ht="13.5" hidden="false" customHeight="false" outlineLevel="0" collapsed="false">
      <c r="A77" s="200" t="s">
        <v>367</v>
      </c>
      <c r="B77" s="200" t="s">
        <v>247</v>
      </c>
      <c r="C77" s="201"/>
      <c r="D77" s="207" t="n">
        <v>53</v>
      </c>
      <c r="E77" s="203"/>
      <c r="F77" s="203" t="s">
        <v>368</v>
      </c>
      <c r="G77" s="203" t="n">
        <v>6600</v>
      </c>
      <c r="H77" s="204" t="n">
        <v>10032</v>
      </c>
      <c r="I77" s="204" t="n">
        <v>8613</v>
      </c>
      <c r="J77" s="204" t="n">
        <v>12853</v>
      </c>
      <c r="K77" s="204" t="n">
        <v>11855</v>
      </c>
      <c r="L77" s="204" t="n">
        <v>15728</v>
      </c>
      <c r="M77" s="204" t="n">
        <v>12759</v>
      </c>
      <c r="N77" s="204" t="n">
        <v>905.94</v>
      </c>
      <c r="O77" s="204" t="n">
        <v>827.58</v>
      </c>
      <c r="P77" s="204" t="n">
        <v>1514.98</v>
      </c>
      <c r="Q77" s="204" t="n">
        <v>1747.88</v>
      </c>
      <c r="R77" s="204" t="n">
        <v>2524.13</v>
      </c>
      <c r="S77" s="204" t="n">
        <v>2184.94</v>
      </c>
      <c r="T77" s="176" t="str">
        <f aca="false">A77</f>
        <v>local comercial</v>
      </c>
      <c r="U77" s="205" t="n">
        <f aca="false">H77+H168+H229</f>
        <v>10032</v>
      </c>
      <c r="AA77" s="206"/>
      <c r="AB77" s="206"/>
      <c r="AC77" s="206"/>
      <c r="AD77" s="206"/>
      <c r="AE77" s="206"/>
      <c r="AF77" s="196"/>
      <c r="AG77" s="196"/>
      <c r="AH77" s="196"/>
      <c r="AI77" s="196"/>
      <c r="AJ77" s="196"/>
      <c r="AK77" s="195"/>
      <c r="AL77" s="208"/>
      <c r="AM77" s="195"/>
    </row>
    <row r="78" customFormat="false" ht="13.5" hidden="false" customHeight="false" outlineLevel="0" collapsed="false">
      <c r="A78" s="200" t="s">
        <v>369</v>
      </c>
      <c r="B78" s="200" t="s">
        <v>311</v>
      </c>
      <c r="C78" s="201"/>
      <c r="D78" s="203" t="n">
        <v>348</v>
      </c>
      <c r="E78" s="203"/>
      <c r="F78" s="203" t="s">
        <v>370</v>
      </c>
      <c r="G78" s="203" t="n">
        <v>5500</v>
      </c>
      <c r="H78" s="204" t="n">
        <v>6563</v>
      </c>
      <c r="I78" s="204" t="n">
        <v>4028</v>
      </c>
      <c r="J78" s="204" t="n">
        <v>8780</v>
      </c>
      <c r="K78" s="204" t="n">
        <v>10319</v>
      </c>
      <c r="L78" s="204" t="n">
        <v>11281</v>
      </c>
      <c r="M78" s="204" t="n">
        <v>9467</v>
      </c>
      <c r="N78" s="204" t="n">
        <v>813</v>
      </c>
      <c r="O78" s="204" t="n">
        <v>559.82</v>
      </c>
      <c r="P78" s="204" t="n">
        <v>1120.88</v>
      </c>
      <c r="Q78" s="204" t="n">
        <v>1549.78</v>
      </c>
      <c r="R78" s="204" t="n">
        <v>1912.15</v>
      </c>
      <c r="S78" s="204" t="n">
        <v>1536.19</v>
      </c>
      <c r="T78" s="176" t="str">
        <f aca="false">A78</f>
        <v>Casa cultural i assistencial</v>
      </c>
      <c r="U78" s="205" t="n">
        <f aca="false">H78+H169+H230</f>
        <v>6563</v>
      </c>
      <c r="AA78" s="206"/>
      <c r="AB78" s="206"/>
      <c r="AC78" s="206"/>
      <c r="AD78" s="206"/>
      <c r="AE78" s="206"/>
      <c r="AF78" s="196"/>
      <c r="AG78" s="196"/>
      <c r="AH78" s="196"/>
      <c r="AI78" s="196"/>
      <c r="AJ78" s="196"/>
      <c r="AK78" s="195"/>
      <c r="AL78" s="208"/>
      <c r="AM78" s="195"/>
    </row>
    <row r="79" customFormat="false" ht="13.5" hidden="false" customHeight="false" outlineLevel="0" collapsed="false">
      <c r="A79" s="200" t="s">
        <v>371</v>
      </c>
      <c r="B79" s="200" t="s">
        <v>311</v>
      </c>
      <c r="C79" s="201"/>
      <c r="D79" s="203" t="n">
        <v>727</v>
      </c>
      <c r="E79" s="203"/>
      <c r="F79" s="203" t="s">
        <v>372</v>
      </c>
      <c r="G79" s="203" t="n">
        <v>13200</v>
      </c>
      <c r="H79" s="204" t="n">
        <v>64925</v>
      </c>
      <c r="I79" s="204" t="n">
        <v>51331</v>
      </c>
      <c r="J79" s="204" t="n">
        <v>59325</v>
      </c>
      <c r="K79" s="204" t="n">
        <v>61475</v>
      </c>
      <c r="L79" s="204" t="n">
        <v>60246</v>
      </c>
      <c r="M79" s="204" t="n">
        <v>66513</v>
      </c>
      <c r="N79" s="204" t="n">
        <v>6224.38</v>
      </c>
      <c r="O79" s="204" t="n">
        <v>5327.34</v>
      </c>
      <c r="P79" s="204" t="n">
        <v>7084.35</v>
      </c>
      <c r="Q79" s="204" t="n">
        <v>9929.61</v>
      </c>
      <c r="R79" s="204" t="n">
        <v>11148.13</v>
      </c>
      <c r="S79" s="204" t="n">
        <v>12464.1</v>
      </c>
      <c r="T79" s="176" t="str">
        <f aca="false">A79</f>
        <v>Centre de salut</v>
      </c>
      <c r="U79" s="205" t="n">
        <f aca="false">H79+H170+H231</f>
        <v>64925</v>
      </c>
      <c r="AA79" s="206"/>
      <c r="AB79" s="206"/>
      <c r="AC79" s="206"/>
      <c r="AD79" s="206"/>
      <c r="AE79" s="206"/>
      <c r="AF79" s="196"/>
      <c r="AG79" s="196"/>
      <c r="AH79" s="196"/>
      <c r="AI79" s="196"/>
      <c r="AJ79" s="196"/>
      <c r="AK79" s="195"/>
      <c r="AL79" s="208"/>
      <c r="AM79" s="195"/>
    </row>
    <row r="80" customFormat="false" ht="13.5" hidden="false" customHeight="false" outlineLevel="0" collapsed="false">
      <c r="A80" s="200" t="s">
        <v>373</v>
      </c>
      <c r="B80" s="200" t="s">
        <v>305</v>
      </c>
      <c r="C80" s="201"/>
      <c r="D80" s="203" t="n">
        <v>5361</v>
      </c>
      <c r="E80" s="203"/>
      <c r="F80" s="203" t="s">
        <v>374</v>
      </c>
      <c r="G80" s="203" t="n">
        <v>20785</v>
      </c>
      <c r="H80" s="204" t="n">
        <v>48136</v>
      </c>
      <c r="I80" s="204" t="n">
        <v>39793</v>
      </c>
      <c r="J80" s="204" t="n">
        <v>28832</v>
      </c>
      <c r="K80" s="204" t="n">
        <v>50192</v>
      </c>
      <c r="L80" s="204" t="n">
        <v>45674</v>
      </c>
      <c r="M80" s="204" t="n">
        <v>40970</v>
      </c>
      <c r="N80" s="204" t="n">
        <v>4496.5</v>
      </c>
      <c r="O80" s="204" t="n">
        <v>4152.75</v>
      </c>
      <c r="P80" s="204" t="n">
        <v>4024.08</v>
      </c>
      <c r="Q80" s="204" t="n">
        <v>7964.6</v>
      </c>
      <c r="R80" s="204" t="n">
        <v>6861.29</v>
      </c>
      <c r="S80" s="204" t="n">
        <v>7385.32</v>
      </c>
      <c r="T80" s="176" t="str">
        <f aca="false">A80</f>
        <v>Institut Baltasar Porcel</v>
      </c>
      <c r="U80" s="205" t="n">
        <f aca="false">H80+H171+H232</f>
        <v>48136</v>
      </c>
      <c r="AA80" s="206"/>
      <c r="AB80" s="206"/>
      <c r="AC80" s="206"/>
      <c r="AD80" s="206"/>
      <c r="AE80" s="206"/>
      <c r="AF80" s="196"/>
      <c r="AG80" s="196"/>
      <c r="AH80" s="196"/>
      <c r="AI80" s="196"/>
      <c r="AJ80" s="196"/>
      <c r="AK80" s="195"/>
      <c r="AL80" s="208"/>
      <c r="AM80" s="195"/>
    </row>
    <row r="81" customFormat="false" ht="13.5" hidden="false" customHeight="false" outlineLevel="0" collapsed="false">
      <c r="A81" s="200" t="s">
        <v>375</v>
      </c>
      <c r="B81" s="200" t="s">
        <v>305</v>
      </c>
      <c r="C81" s="201"/>
      <c r="D81" s="203" t="n">
        <v>238</v>
      </c>
      <c r="E81" s="203"/>
      <c r="F81" s="203" t="s">
        <v>376</v>
      </c>
      <c r="G81" s="203" t="n">
        <v>9900</v>
      </c>
      <c r="H81" s="204" t="n">
        <v>26875</v>
      </c>
      <c r="I81" s="204" t="n">
        <v>25648</v>
      </c>
      <c r="J81" s="204" t="n">
        <v>26177</v>
      </c>
      <c r="K81" s="204" t="n">
        <v>16153</v>
      </c>
      <c r="L81" s="204" t="n">
        <v>33981</v>
      </c>
      <c r="M81" s="204" t="n">
        <v>30890</v>
      </c>
      <c r="N81" s="204" t="n">
        <v>2431.51</v>
      </c>
      <c r="O81" s="204" t="n">
        <v>2528.8</v>
      </c>
      <c r="P81" s="204" t="n">
        <v>3117.51</v>
      </c>
      <c r="Q81" s="204" t="n">
        <v>2462.95</v>
      </c>
      <c r="R81" s="204" t="n">
        <v>5694.45</v>
      </c>
      <c r="S81" s="204" t="n">
        <v>5394.08</v>
      </c>
      <c r="T81" s="176" t="str">
        <f aca="false">A81</f>
        <v>Escola Ses Bassetes</v>
      </c>
      <c r="U81" s="205" t="n">
        <f aca="false">H81+H172+H233</f>
        <v>26875</v>
      </c>
      <c r="AA81" s="206"/>
      <c r="AB81" s="206"/>
      <c r="AC81" s="206"/>
      <c r="AD81" s="206"/>
      <c r="AE81" s="206"/>
      <c r="AF81" s="196"/>
      <c r="AG81" s="196"/>
      <c r="AH81" s="196"/>
      <c r="AI81" s="196"/>
      <c r="AJ81" s="196"/>
      <c r="AK81" s="195"/>
      <c r="AL81" s="208"/>
      <c r="AM81" s="195"/>
    </row>
    <row r="82" customFormat="false" ht="13.5" hidden="false" customHeight="false" outlineLevel="0" collapsed="false">
      <c r="A82" s="200" t="s">
        <v>375</v>
      </c>
      <c r="B82" s="200" t="s">
        <v>305</v>
      </c>
      <c r="C82" s="201"/>
      <c r="D82" s="203" t="n">
        <v>238</v>
      </c>
      <c r="E82" s="203"/>
      <c r="F82" s="203" t="s">
        <v>377</v>
      </c>
      <c r="G82" s="203" t="n">
        <v>9900</v>
      </c>
      <c r="H82" s="204" t="n">
        <v>38946</v>
      </c>
      <c r="I82" s="204" t="n">
        <v>36728</v>
      </c>
      <c r="J82" s="204" t="n">
        <v>33904</v>
      </c>
      <c r="K82" s="204" t="n">
        <v>30057</v>
      </c>
      <c r="L82" s="204" t="n">
        <v>36339</v>
      </c>
      <c r="M82" s="204" t="n">
        <v>35492</v>
      </c>
      <c r="N82" s="204" t="n">
        <v>3526.66</v>
      </c>
      <c r="O82" s="204" t="n">
        <v>3468.29</v>
      </c>
      <c r="P82" s="204" t="n">
        <v>3853.17</v>
      </c>
      <c r="Q82" s="204" t="n">
        <v>4562.12</v>
      </c>
      <c r="R82" s="204" t="n">
        <v>6172.69</v>
      </c>
      <c r="S82" s="204" t="n">
        <v>5526.14</v>
      </c>
      <c r="T82" s="176" t="str">
        <f aca="false">A82</f>
        <v>Escola Ses Bassetes</v>
      </c>
      <c r="U82" s="205" t="n">
        <f aca="false">H82+H173+H234</f>
        <v>38946</v>
      </c>
      <c r="AA82" s="206"/>
      <c r="AB82" s="206"/>
      <c r="AC82" s="206"/>
      <c r="AD82" s="206"/>
      <c r="AE82" s="206"/>
      <c r="AF82" s="196"/>
      <c r="AG82" s="196"/>
      <c r="AH82" s="196"/>
      <c r="AI82" s="196"/>
      <c r="AJ82" s="196"/>
      <c r="AK82" s="195"/>
      <c r="AL82" s="208"/>
      <c r="AM82" s="195"/>
    </row>
    <row r="83" customFormat="false" ht="13.5" hidden="false" customHeight="false" outlineLevel="0" collapsed="false">
      <c r="A83" s="200" t="s">
        <v>378</v>
      </c>
      <c r="B83" s="200" t="s">
        <v>311</v>
      </c>
      <c r="C83" s="201"/>
      <c r="D83" s="203" t="n">
        <v>936</v>
      </c>
      <c r="E83" s="203"/>
      <c r="F83" s="203" t="s">
        <v>379</v>
      </c>
      <c r="G83" s="203" t="n">
        <v>41600</v>
      </c>
      <c r="H83" s="204" t="n">
        <v>76975</v>
      </c>
      <c r="I83" s="204" t="n">
        <v>33028</v>
      </c>
      <c r="J83" s="204" t="n">
        <v>0</v>
      </c>
      <c r="K83" s="204" t="n">
        <v>120170</v>
      </c>
      <c r="L83" s="204" t="n">
        <v>41308</v>
      </c>
      <c r="M83" s="204" t="n">
        <v>28591</v>
      </c>
      <c r="N83" s="204" t="n">
        <v>10519.52</v>
      </c>
      <c r="O83" s="204" t="n">
        <v>5268.27</v>
      </c>
      <c r="P83" s="204" t="n">
        <v>1219.08</v>
      </c>
      <c r="Q83" s="204" t="n">
        <v>18853.16</v>
      </c>
      <c r="R83" s="204" t="n">
        <v>8315.07</v>
      </c>
      <c r="S83" s="204" t="n">
        <v>6607.05</v>
      </c>
      <c r="T83" s="176" t="str">
        <f aca="false">A83</f>
        <v>Local gent gran</v>
      </c>
      <c r="U83" s="205" t="n">
        <f aca="false">H83+H174+H235</f>
        <v>76975</v>
      </c>
      <c r="AA83" s="206"/>
      <c r="AB83" s="206"/>
      <c r="AC83" s="206"/>
      <c r="AD83" s="206"/>
      <c r="AE83" s="206"/>
      <c r="AF83" s="196"/>
      <c r="AG83" s="196"/>
      <c r="AH83" s="196"/>
      <c r="AI83" s="196"/>
      <c r="AJ83" s="196"/>
      <c r="AK83" s="195"/>
      <c r="AL83" s="208"/>
      <c r="AM83" s="195"/>
    </row>
    <row r="84" customFormat="false" ht="13.5" hidden="false" customHeight="false" outlineLevel="0" collapsed="false">
      <c r="A84" s="200"/>
      <c r="B84" s="200"/>
      <c r="C84" s="201"/>
      <c r="D84" s="207"/>
      <c r="E84" s="203"/>
      <c r="F84" s="203"/>
      <c r="G84" s="203"/>
      <c r="H84" s="204"/>
      <c r="I84" s="204"/>
      <c r="J84" s="204"/>
      <c r="K84" s="204"/>
      <c r="L84" s="204"/>
      <c r="M84" s="204"/>
      <c r="N84" s="204"/>
      <c r="O84" s="204"/>
      <c r="P84" s="204"/>
      <c r="Q84" s="204"/>
      <c r="R84" s="204"/>
      <c r="S84" s="204"/>
      <c r="T84" s="176" t="n">
        <f aca="false">A84</f>
        <v>0</v>
      </c>
      <c r="U84" s="205" t="n">
        <f aca="false">H84+H175+H236</f>
        <v>0</v>
      </c>
      <c r="AA84" s="206"/>
      <c r="AB84" s="206"/>
      <c r="AC84" s="206"/>
      <c r="AD84" s="206"/>
      <c r="AE84" s="206"/>
      <c r="AF84" s="196"/>
      <c r="AG84" s="196"/>
      <c r="AH84" s="196"/>
      <c r="AI84" s="196"/>
      <c r="AJ84" s="196"/>
      <c r="AK84" s="195"/>
      <c r="AL84" s="208"/>
      <c r="AM84" s="195"/>
    </row>
    <row r="85" customFormat="false" ht="13.5" hidden="false" customHeight="false" outlineLevel="0" collapsed="false">
      <c r="A85" s="176" t="n">
        <f aca="false">COUNTA(H59:H84)</f>
        <v>22</v>
      </c>
      <c r="D85" s="192" t="n">
        <f aca="false">SUM(D59:D84)</f>
        <v>40602</v>
      </c>
      <c r="E85" s="192" t="n">
        <f aca="false">SUM(E59:E84)</f>
        <v>673</v>
      </c>
      <c r="F85" s="209" t="s">
        <v>272</v>
      </c>
      <c r="G85" s="209"/>
      <c r="H85" s="192" t="n">
        <f aca="false">SUM(H59:H84)</f>
        <v>1547388</v>
      </c>
      <c r="I85" s="192" t="n">
        <f aca="false">SUM(I59:I84)</f>
        <v>1434056</v>
      </c>
      <c r="J85" s="192" t="n">
        <f aca="false">SUM(J59:J84)</f>
        <v>1483381</v>
      </c>
      <c r="K85" s="192" t="n">
        <f aca="false">SUM(K59:K84)</f>
        <v>1473887</v>
      </c>
      <c r="L85" s="192" t="n">
        <f aca="false">SUM(L59:L84)</f>
        <v>1419496</v>
      </c>
      <c r="M85" s="192" t="n">
        <f aca="false">SUM(M59:M84)</f>
        <v>1350941</v>
      </c>
      <c r="N85" s="192" t="n">
        <f aca="false">SUM(N59:N84)</f>
        <v>200003.72</v>
      </c>
      <c r="O85" s="192" t="n">
        <f aca="false">SUM(O59:O84)</f>
        <v>192232.72</v>
      </c>
      <c r="P85" s="192" t="n">
        <f aca="false">SUM(P59:P84)</f>
        <v>213748.85</v>
      </c>
      <c r="Q85" s="192" t="n">
        <f aca="false">SUM(Q59:Q84)</f>
        <v>230143.56</v>
      </c>
      <c r="R85" s="192" t="n">
        <f aca="false">SUM(R59:R84)</f>
        <v>244685.14</v>
      </c>
      <c r="S85" s="192" t="n">
        <f aca="false">SUM(S59:S84)</f>
        <v>279918.06</v>
      </c>
      <c r="AA85" s="210"/>
      <c r="AB85" s="210"/>
      <c r="AC85" s="210"/>
      <c r="AD85" s="210"/>
      <c r="AE85" s="210"/>
      <c r="AF85" s="196"/>
      <c r="AG85" s="196"/>
      <c r="AH85" s="196"/>
      <c r="AI85" s="196"/>
      <c r="AJ85" s="211"/>
      <c r="AK85" s="195"/>
      <c r="AL85" s="195"/>
      <c r="AM85" s="195"/>
    </row>
    <row r="86" customFormat="false" ht="13.5" hidden="false" customHeight="false" outlineLevel="0" collapsed="false">
      <c r="N86" s="195"/>
      <c r="O86" s="195"/>
      <c r="P86" s="195"/>
      <c r="Q86" s="195"/>
      <c r="R86" s="195"/>
      <c r="S86" s="195"/>
      <c r="T86" s="195"/>
      <c r="V86" s="195"/>
      <c r="W86" s="195"/>
      <c r="Y86" s="195"/>
      <c r="Z86" s="195"/>
      <c r="AA86" s="195"/>
      <c r="AB86" s="195"/>
      <c r="AC86" s="195"/>
      <c r="AD86" s="195"/>
      <c r="AE86" s="195"/>
      <c r="AF86" s="195"/>
      <c r="AG86" s="195"/>
      <c r="AH86" s="195"/>
      <c r="AI86" s="195"/>
      <c r="AJ86" s="195"/>
      <c r="AK86" s="195"/>
      <c r="AL86" s="195"/>
      <c r="AM86" s="195"/>
    </row>
    <row r="87" customFormat="false" ht="13.5" hidden="false" customHeight="false" outlineLevel="0" collapsed="false">
      <c r="A87" s="194" t="s">
        <v>380</v>
      </c>
      <c r="H87" s="182" t="s">
        <v>321</v>
      </c>
      <c r="I87" s="182"/>
      <c r="J87" s="182"/>
      <c r="K87" s="182"/>
      <c r="L87" s="182"/>
      <c r="M87" s="182"/>
      <c r="N87" s="182" t="s">
        <v>322</v>
      </c>
      <c r="O87" s="182"/>
      <c r="P87" s="182"/>
      <c r="Q87" s="182"/>
      <c r="R87" s="182"/>
      <c r="S87" s="182"/>
      <c r="T87" s="195"/>
      <c r="U87" s="195"/>
      <c r="V87" s="195"/>
      <c r="W87" s="195"/>
      <c r="X87" s="195"/>
      <c r="Y87" s="195"/>
      <c r="Z87" s="195"/>
      <c r="AA87" s="195"/>
      <c r="AB87" s="195"/>
      <c r="AC87" s="195"/>
      <c r="AD87" s="195"/>
      <c r="AE87" s="195"/>
      <c r="AF87" s="195"/>
      <c r="AG87" s="195"/>
      <c r="AH87" s="195"/>
      <c r="AI87" s="195"/>
      <c r="AJ87" s="195"/>
      <c r="AK87" s="195"/>
      <c r="AL87" s="195"/>
      <c r="AM87" s="195"/>
    </row>
    <row r="88" customFormat="false" ht="13.5" hidden="false" customHeight="false" outlineLevel="0" collapsed="false">
      <c r="A88" s="182" t="s">
        <v>315</v>
      </c>
      <c r="B88" s="182" t="s">
        <v>324</v>
      </c>
      <c r="C88" s="182" t="s">
        <v>325</v>
      </c>
      <c r="D88" s="182" t="s">
        <v>326</v>
      </c>
      <c r="E88" s="182" t="s">
        <v>327</v>
      </c>
      <c r="F88" s="182" t="s">
        <v>328</v>
      </c>
      <c r="G88" s="182" t="s">
        <v>329</v>
      </c>
      <c r="H88" s="182" t="n">
        <f aca="false">B6</f>
        <v>2005</v>
      </c>
      <c r="I88" s="182" t="n">
        <f aca="false">C6</f>
        <v>2006</v>
      </c>
      <c r="J88" s="182" t="n">
        <f aca="false">D6</f>
        <v>2007</v>
      </c>
      <c r="K88" s="182" t="n">
        <f aca="false">E6</f>
        <v>2008</v>
      </c>
      <c r="L88" s="182" t="n">
        <f aca="false">F6</f>
        <v>2009</v>
      </c>
      <c r="M88" s="182" t="n">
        <f aca="false">G6</f>
        <v>2010</v>
      </c>
      <c r="N88" s="182" t="n">
        <f aca="false">H88</f>
        <v>2005</v>
      </c>
      <c r="O88" s="182" t="n">
        <f aca="false">I88</f>
        <v>2006</v>
      </c>
      <c r="P88" s="182" t="n">
        <f aca="false">J88</f>
        <v>2007</v>
      </c>
      <c r="Q88" s="182" t="n">
        <f aca="false">K88</f>
        <v>2008</v>
      </c>
      <c r="R88" s="182" t="n">
        <f aca="false">L88</f>
        <v>2009</v>
      </c>
      <c r="S88" s="182" t="n">
        <f aca="false">M88</f>
        <v>2010</v>
      </c>
      <c r="T88" s="195"/>
      <c r="U88" s="195"/>
      <c r="V88" s="195"/>
      <c r="W88" s="195"/>
      <c r="X88" s="195"/>
      <c r="Y88" s="195"/>
      <c r="Z88" s="195"/>
      <c r="AA88" s="195"/>
      <c r="AB88" s="195"/>
      <c r="AC88" s="195"/>
      <c r="AD88" s="195"/>
      <c r="AE88" s="195"/>
      <c r="AF88" s="195"/>
      <c r="AG88" s="195"/>
      <c r="AH88" s="195"/>
      <c r="AI88" s="195"/>
      <c r="AJ88" s="195"/>
      <c r="AK88" s="195"/>
      <c r="AL88" s="195"/>
      <c r="AM88" s="195"/>
    </row>
    <row r="89" customFormat="false" ht="13.5" hidden="false" customHeight="false" outlineLevel="0" collapsed="false">
      <c r="A89" s="191" t="str">
        <f aca="false">A59</f>
        <v>Ajuntament Andratx</v>
      </c>
      <c r="B89" s="191" t="str">
        <f aca="false">B59</f>
        <v>Administratiu</v>
      </c>
      <c r="C89" s="191" t="str">
        <f aca="false">C59</f>
        <v>si</v>
      </c>
      <c r="D89" s="191" t="n">
        <f aca="false">D59</f>
        <v>3636</v>
      </c>
      <c r="E89" s="191" t="n">
        <f aca="false">E59</f>
        <v>220</v>
      </c>
      <c r="F89" s="203" t="s">
        <v>332</v>
      </c>
      <c r="G89" s="212" t="s">
        <v>86</v>
      </c>
      <c r="H89" s="213" t="n">
        <f aca="false">H119*'0.DADES'!$D$70</f>
        <v>0</v>
      </c>
      <c r="I89" s="213" t="n">
        <f aca="false">I119*'0.DADES'!$D$70</f>
        <v>0</v>
      </c>
      <c r="J89" s="213" t="n">
        <f aca="false">J119*'0.DADES'!$D$70</f>
        <v>0</v>
      </c>
      <c r="K89" s="213" t="n">
        <f aca="false">K119*'0.DADES'!$D$70</f>
        <v>0</v>
      </c>
      <c r="L89" s="213" t="n">
        <f aca="false">L119*'0.DADES'!$D$70</f>
        <v>0</v>
      </c>
      <c r="M89" s="213" t="n">
        <f aca="false">M119*'0.DADES'!$D$70</f>
        <v>0</v>
      </c>
      <c r="N89" s="204"/>
      <c r="O89" s="204"/>
      <c r="P89" s="204"/>
      <c r="Q89" s="204"/>
      <c r="R89" s="204"/>
      <c r="S89" s="204"/>
      <c r="T89" s="195"/>
      <c r="U89" s="195"/>
      <c r="V89" s="195"/>
      <c r="W89" s="195"/>
      <c r="X89" s="195"/>
      <c r="Y89" s="195"/>
      <c r="Z89" s="195"/>
      <c r="AA89" s="195"/>
      <c r="AB89" s="195"/>
      <c r="AC89" s="195"/>
      <c r="AD89" s="195"/>
      <c r="AE89" s="195"/>
      <c r="AF89" s="195"/>
      <c r="AG89" s="195"/>
      <c r="AH89" s="195"/>
      <c r="AI89" s="195"/>
      <c r="AJ89" s="195"/>
      <c r="AK89" s="195"/>
      <c r="AL89" s="195"/>
      <c r="AM89" s="195"/>
    </row>
    <row r="90" customFormat="false" ht="13.5" hidden="false" customHeight="false" outlineLevel="0" collapsed="false">
      <c r="A90" s="191" t="str">
        <f aca="false">A60</f>
        <v>Poliesportiu municipal Es vinyet</v>
      </c>
      <c r="B90" s="191" t="str">
        <f aca="false">B60</f>
        <v>Esportiu sense piscina</v>
      </c>
      <c r="C90" s="191" t="n">
        <f aca="false">C60</f>
        <v>0</v>
      </c>
      <c r="D90" s="191" t="n">
        <f aca="false">D60</f>
        <v>0</v>
      </c>
      <c r="E90" s="191" t="n">
        <f aca="false">E60</f>
        <v>0</v>
      </c>
      <c r="F90" s="203" t="s">
        <v>334</v>
      </c>
      <c r="G90" s="212" t="s">
        <v>86</v>
      </c>
      <c r="H90" s="213" t="n">
        <f aca="false">H120*'0.DADES'!$D$70</f>
        <v>0</v>
      </c>
      <c r="I90" s="213" t="n">
        <f aca="false">I120*'0.DADES'!$D$70</f>
        <v>0</v>
      </c>
      <c r="J90" s="213" t="n">
        <f aca="false">J120*'0.DADES'!$D$70</f>
        <v>0</v>
      </c>
      <c r="K90" s="213" t="n">
        <f aca="false">K120*'0.DADES'!$D$70</f>
        <v>0</v>
      </c>
      <c r="L90" s="213" t="n">
        <f aca="false">L120*'0.DADES'!$D$70</f>
        <v>0</v>
      </c>
      <c r="M90" s="213" t="n">
        <f aca="false">M120*'0.DADES'!$D$70</f>
        <v>0</v>
      </c>
      <c r="N90" s="204"/>
      <c r="O90" s="204"/>
      <c r="P90" s="204"/>
      <c r="Q90" s="204"/>
      <c r="R90" s="204"/>
      <c r="S90" s="204"/>
    </row>
    <row r="91" customFormat="false" ht="13.5" hidden="false" customHeight="false" outlineLevel="0" collapsed="false">
      <c r="A91" s="191" t="str">
        <f aca="false">A61</f>
        <v>Camp municipal Sa Plana</v>
      </c>
      <c r="B91" s="191" t="str">
        <f aca="false">B61</f>
        <v>Esportiu sense piscina</v>
      </c>
      <c r="C91" s="191" t="str">
        <f aca="false">C61</f>
        <v>si</v>
      </c>
      <c r="D91" s="191" t="n">
        <f aca="false">D61</f>
        <v>7543</v>
      </c>
      <c r="E91" s="191" t="n">
        <f aca="false">E61</f>
        <v>50</v>
      </c>
      <c r="F91" s="203" t="s">
        <v>336</v>
      </c>
      <c r="G91" s="212" t="s">
        <v>86</v>
      </c>
      <c r="H91" s="213" t="n">
        <f aca="false">H121*'0.DADES'!$D$70</f>
        <v>0</v>
      </c>
      <c r="I91" s="213" t="n">
        <f aca="false">I121*'0.DADES'!$D$70</f>
        <v>0</v>
      </c>
      <c r="J91" s="213" t="n">
        <f aca="false">J121*'0.DADES'!$D$70</f>
        <v>0</v>
      </c>
      <c r="K91" s="213" t="n">
        <f aca="false">K121*'0.DADES'!$D$70</f>
        <v>0</v>
      </c>
      <c r="L91" s="213" t="n">
        <f aca="false">L121*'0.DADES'!$D$70</f>
        <v>0</v>
      </c>
      <c r="M91" s="213" t="n">
        <f aca="false">M121*'0.DADES'!$D$70</f>
        <v>0</v>
      </c>
      <c r="N91" s="204"/>
      <c r="O91" s="204"/>
      <c r="P91" s="204"/>
      <c r="Q91" s="204"/>
      <c r="R91" s="204"/>
      <c r="S91" s="204"/>
    </row>
    <row r="92" customFormat="false" ht="13.5" hidden="false" customHeight="false" outlineLevel="0" collapsed="false">
      <c r="A92" s="191" t="str">
        <f aca="false">A62</f>
        <v>Cementiri s'Arracó</v>
      </c>
      <c r="B92" s="191" t="str">
        <f aca="false">B62</f>
        <v>Sociocultural</v>
      </c>
      <c r="C92" s="191" t="n">
        <f aca="false">C62</f>
        <v>0</v>
      </c>
      <c r="D92" s="191" t="n">
        <f aca="false">D62</f>
        <v>0</v>
      </c>
      <c r="E92" s="191" t="n">
        <f aca="false">E62</f>
        <v>0</v>
      </c>
      <c r="F92" s="203" t="s">
        <v>338</v>
      </c>
      <c r="G92" s="212" t="s">
        <v>86</v>
      </c>
      <c r="H92" s="213" t="n">
        <f aca="false">H122*'0.DADES'!$D$70</f>
        <v>0</v>
      </c>
      <c r="I92" s="213" t="n">
        <f aca="false">I122*'0.DADES'!$D$70</f>
        <v>0</v>
      </c>
      <c r="J92" s="213" t="n">
        <f aca="false">J122*'0.DADES'!$D$70</f>
        <v>0</v>
      </c>
      <c r="K92" s="213" t="n">
        <f aca="false">K122*'0.DADES'!$D$70</f>
        <v>0</v>
      </c>
      <c r="L92" s="213" t="n">
        <f aca="false">L122*'0.DADES'!$D$70</f>
        <v>0</v>
      </c>
      <c r="M92" s="213" t="n">
        <f aca="false">M122*'0.DADES'!$D$70</f>
        <v>0</v>
      </c>
      <c r="N92" s="204"/>
      <c r="O92" s="204"/>
      <c r="P92" s="204"/>
      <c r="Q92" s="204"/>
      <c r="R92" s="204"/>
      <c r="S92" s="204"/>
      <c r="T92" s="184"/>
      <c r="U92" s="184"/>
      <c r="V92" s="184"/>
      <c r="W92" s="184"/>
      <c r="X92" s="184"/>
      <c r="Z92" s="184" t="s">
        <v>381</v>
      </c>
      <c r="AA92" s="184" t="s">
        <v>381</v>
      </c>
      <c r="AB92" s="184" t="s">
        <v>381</v>
      </c>
      <c r="AC92" s="184" t="s">
        <v>381</v>
      </c>
      <c r="AD92" s="184" t="s">
        <v>381</v>
      </c>
    </row>
    <row r="93" customFormat="false" ht="13.5" hidden="false" customHeight="false" outlineLevel="0" collapsed="false">
      <c r="A93" s="191" t="str">
        <f aca="false">A63</f>
        <v>Col·legi</v>
      </c>
      <c r="B93" s="191" t="str">
        <f aca="false">B63</f>
        <v>Educatiu</v>
      </c>
      <c r="C93" s="191" t="n">
        <f aca="false">C63</f>
        <v>0</v>
      </c>
      <c r="D93" s="191" t="n">
        <f aca="false">D63</f>
        <v>0</v>
      </c>
      <c r="E93" s="191" t="n">
        <f aca="false">E63</f>
        <v>0</v>
      </c>
      <c r="F93" s="203" t="s">
        <v>340</v>
      </c>
      <c r="G93" s="212" t="s">
        <v>86</v>
      </c>
      <c r="H93" s="213" t="n">
        <f aca="false">H123*'0.DADES'!$D$70</f>
        <v>0</v>
      </c>
      <c r="I93" s="213" t="n">
        <f aca="false">I123*'0.DADES'!$D$70</f>
        <v>0</v>
      </c>
      <c r="J93" s="213" t="n">
        <f aca="false">J123*'0.DADES'!$D$70</f>
        <v>0</v>
      </c>
      <c r="K93" s="213" t="n">
        <f aca="false">K123*'0.DADES'!$D$70</f>
        <v>0</v>
      </c>
      <c r="L93" s="213" t="n">
        <f aca="false">L123*'0.DADES'!$D$70</f>
        <v>0</v>
      </c>
      <c r="M93" s="213" t="n">
        <f aca="false">M123*'0.DADES'!$D$70</f>
        <v>0</v>
      </c>
      <c r="N93" s="204"/>
      <c r="O93" s="204"/>
      <c r="P93" s="204"/>
      <c r="Q93" s="204"/>
      <c r="R93" s="204"/>
      <c r="S93" s="204"/>
    </row>
    <row r="94" customFormat="false" ht="13.5" hidden="false" customHeight="false" outlineLevel="0" collapsed="false">
      <c r="A94" s="191" t="str">
        <f aca="false">A64</f>
        <v>Palau d'esports</v>
      </c>
      <c r="B94" s="191" t="str">
        <f aca="false">B64</f>
        <v>Esportiu amb piscina</v>
      </c>
      <c r="C94" s="191" t="str">
        <f aca="false">C64</f>
        <v>si</v>
      </c>
      <c r="D94" s="191" t="n">
        <f aca="false">D64</f>
        <v>5676</v>
      </c>
      <c r="E94" s="191" t="n">
        <f aca="false">E64</f>
        <v>300</v>
      </c>
      <c r="F94" s="203" t="s">
        <v>342</v>
      </c>
      <c r="G94" s="212" t="s">
        <v>86</v>
      </c>
      <c r="H94" s="213" t="n">
        <f aca="false">H124*'0.DADES'!$D$70</f>
        <v>0</v>
      </c>
      <c r="I94" s="213" t="n">
        <f aca="false">I124*'0.DADES'!$D$70</f>
        <v>0</v>
      </c>
      <c r="J94" s="213" t="n">
        <f aca="false">J124*'0.DADES'!$D$70</f>
        <v>0</v>
      </c>
      <c r="K94" s="213" t="n">
        <f aca="false">K124*'0.DADES'!$D$70</f>
        <v>0</v>
      </c>
      <c r="L94" s="213" t="n">
        <f aca="false">L124*'0.DADES'!$D$70</f>
        <v>0</v>
      </c>
      <c r="M94" s="213" t="n">
        <f aca="false">M124*'0.DADES'!$D$70</f>
        <v>0</v>
      </c>
      <c r="N94" s="204"/>
      <c r="O94" s="204"/>
      <c r="P94" s="204"/>
      <c r="Q94" s="204"/>
      <c r="R94" s="204"/>
      <c r="S94" s="204"/>
    </row>
    <row r="95" customFormat="false" ht="13.5" hidden="false" customHeight="false" outlineLevel="0" collapsed="false">
      <c r="A95" s="191" t="str">
        <f aca="false">A65</f>
        <v>Escola de música</v>
      </c>
      <c r="B95" s="191" t="str">
        <f aca="false">B65</f>
        <v>Educatiu</v>
      </c>
      <c r="C95" s="191" t="n">
        <f aca="false">C65</f>
        <v>0</v>
      </c>
      <c r="D95" s="191" t="n">
        <f aca="false">D65</f>
        <v>469</v>
      </c>
      <c r="E95" s="191" t="n">
        <f aca="false">E65</f>
        <v>0</v>
      </c>
      <c r="F95" s="203" t="s">
        <v>344</v>
      </c>
      <c r="G95" s="212" t="s">
        <v>86</v>
      </c>
      <c r="H95" s="213" t="n">
        <f aca="false">H125*'0.DADES'!$D$70</f>
        <v>0</v>
      </c>
      <c r="I95" s="213" t="n">
        <f aca="false">I125*'0.DADES'!$D$70</f>
        <v>0</v>
      </c>
      <c r="J95" s="213" t="n">
        <f aca="false">J125*'0.DADES'!$D$70</f>
        <v>0</v>
      </c>
      <c r="K95" s="213" t="n">
        <f aca="false">K125*'0.DADES'!$D$70</f>
        <v>0</v>
      </c>
      <c r="L95" s="213" t="n">
        <f aca="false">L125*'0.DADES'!$D$70</f>
        <v>0</v>
      </c>
      <c r="M95" s="213" t="n">
        <f aca="false">M125*'0.DADES'!$D$70</f>
        <v>0</v>
      </c>
      <c r="N95" s="204"/>
      <c r="O95" s="204"/>
      <c r="P95" s="204"/>
      <c r="Q95" s="204"/>
      <c r="R95" s="204"/>
      <c r="S95" s="204"/>
    </row>
    <row r="96" customFormat="false" ht="13.5" hidden="false" customHeight="false" outlineLevel="0" collapsed="false">
      <c r="A96" s="191" t="str">
        <f aca="false">A66</f>
        <v>Cementeri municipal Andratx</v>
      </c>
      <c r="B96" s="191" t="str">
        <f aca="false">B66</f>
        <v>Sociocultural</v>
      </c>
      <c r="C96" s="191" t="n">
        <f aca="false">C66</f>
        <v>0</v>
      </c>
      <c r="D96" s="191" t="n">
        <f aca="false">D66</f>
        <v>2949</v>
      </c>
      <c r="E96" s="191" t="n">
        <f aca="false">E66</f>
        <v>0</v>
      </c>
      <c r="F96" s="203" t="s">
        <v>346</v>
      </c>
      <c r="G96" s="212" t="s">
        <v>86</v>
      </c>
      <c r="H96" s="213" t="n">
        <f aca="false">H126*'0.DADES'!$D$70</f>
        <v>0</v>
      </c>
      <c r="I96" s="213" t="n">
        <f aca="false">I126*'0.DADES'!$D$70</f>
        <v>0</v>
      </c>
      <c r="J96" s="213" t="n">
        <f aca="false">J126*'0.DADES'!$D$70</f>
        <v>0</v>
      </c>
      <c r="K96" s="213" t="n">
        <f aca="false">K126*'0.DADES'!$D$70</f>
        <v>0</v>
      </c>
      <c r="L96" s="213" t="n">
        <f aca="false">L126*'0.DADES'!$D$70</f>
        <v>0</v>
      </c>
      <c r="M96" s="213" t="n">
        <f aca="false">M126*'0.DADES'!$D$70</f>
        <v>0</v>
      </c>
      <c r="N96" s="204"/>
      <c r="O96" s="204"/>
      <c r="P96" s="204"/>
      <c r="Q96" s="204"/>
      <c r="R96" s="204"/>
      <c r="S96" s="204"/>
    </row>
    <row r="97" customFormat="false" ht="13.5" hidden="false" customHeight="false" outlineLevel="0" collapsed="false">
      <c r="A97" s="191" t="str">
        <f aca="false">A67</f>
        <v>Parc verd</v>
      </c>
      <c r="B97" s="191" t="str">
        <f aca="false">B67</f>
        <v>Sociocultural</v>
      </c>
      <c r="C97" s="191" t="n">
        <f aca="false">C67</f>
        <v>0</v>
      </c>
      <c r="D97" s="191" t="n">
        <f aca="false">D67</f>
        <v>444</v>
      </c>
      <c r="E97" s="191" t="n">
        <f aca="false">E67</f>
        <v>0</v>
      </c>
      <c r="F97" s="203" t="s">
        <v>348</v>
      </c>
      <c r="G97" s="212" t="s">
        <v>86</v>
      </c>
      <c r="H97" s="213" t="n">
        <f aca="false">H127*'0.DADES'!$D$70</f>
        <v>0</v>
      </c>
      <c r="I97" s="213" t="n">
        <f aca="false">I127*'0.DADES'!$D$70</f>
        <v>0</v>
      </c>
      <c r="J97" s="213" t="n">
        <f aca="false">J127*'0.DADES'!$D$70</f>
        <v>0</v>
      </c>
      <c r="K97" s="213" t="n">
        <f aca="false">K127*'0.DADES'!$D$70</f>
        <v>0</v>
      </c>
      <c r="L97" s="213" t="n">
        <f aca="false">L127*'0.DADES'!$D$70</f>
        <v>0</v>
      </c>
      <c r="M97" s="213" t="n">
        <f aca="false">M127*'0.DADES'!$D$70</f>
        <v>0</v>
      </c>
      <c r="N97" s="204"/>
      <c r="O97" s="204"/>
      <c r="P97" s="204"/>
      <c r="Q97" s="204"/>
      <c r="R97" s="204"/>
      <c r="S97" s="204"/>
    </row>
    <row r="98" customFormat="false" ht="13.5" hidden="false" customHeight="false" outlineLevel="0" collapsed="false">
      <c r="A98" s="191" t="str">
        <f aca="false">A68</f>
        <v>Biblioteca </v>
      </c>
      <c r="B98" s="191" t="str">
        <f aca="false">B68</f>
        <v>Sociocultural</v>
      </c>
      <c r="C98" s="191" t="str">
        <f aca="false">C68</f>
        <v>si</v>
      </c>
      <c r="D98" s="191" t="n">
        <f aca="false">D68</f>
        <v>683</v>
      </c>
      <c r="E98" s="191" t="n">
        <f aca="false">E68</f>
        <v>53</v>
      </c>
      <c r="F98" s="203" t="s">
        <v>350</v>
      </c>
      <c r="G98" s="212" t="s">
        <v>86</v>
      </c>
      <c r="H98" s="213" t="n">
        <f aca="false">H128*'0.DADES'!$D$70</f>
        <v>0</v>
      </c>
      <c r="I98" s="213" t="n">
        <f aca="false">I128*'0.DADES'!$D$70</f>
        <v>0</v>
      </c>
      <c r="J98" s="213" t="n">
        <f aca="false">J128*'0.DADES'!$D$70</f>
        <v>0</v>
      </c>
      <c r="K98" s="213" t="n">
        <f aca="false">K128*'0.DADES'!$D$70</f>
        <v>0</v>
      </c>
      <c r="L98" s="213" t="n">
        <f aca="false">L128*'0.DADES'!$D$70</f>
        <v>0</v>
      </c>
      <c r="M98" s="213" t="n">
        <f aca="false">M128*'0.DADES'!$D$70</f>
        <v>0</v>
      </c>
      <c r="N98" s="204"/>
      <c r="O98" s="204"/>
      <c r="P98" s="204"/>
      <c r="Q98" s="204"/>
      <c r="R98" s="204"/>
      <c r="S98" s="204"/>
    </row>
    <row r="99" customFormat="false" ht="13.5" hidden="false" customHeight="false" outlineLevel="0" collapsed="false">
      <c r="A99" s="191" t="str">
        <f aca="false">A69</f>
        <v>Local cultural</v>
      </c>
      <c r="B99" s="191" t="str">
        <f aca="false">B69</f>
        <v>Sociocultural</v>
      </c>
      <c r="C99" s="191" t="n">
        <f aca="false">C69</f>
        <v>0</v>
      </c>
      <c r="D99" s="191" t="n">
        <f aca="false">D69</f>
        <v>938</v>
      </c>
      <c r="E99" s="191" t="n">
        <f aca="false">E69</f>
        <v>0</v>
      </c>
      <c r="F99" s="203" t="s">
        <v>352</v>
      </c>
      <c r="G99" s="212" t="s">
        <v>86</v>
      </c>
      <c r="H99" s="213" t="n">
        <f aca="false">H129*'0.DADES'!$D$70</f>
        <v>0</v>
      </c>
      <c r="I99" s="213" t="n">
        <f aca="false">I129*'0.DADES'!$D$70</f>
        <v>0</v>
      </c>
      <c r="J99" s="213" t="n">
        <f aca="false">J129*'0.DADES'!$D$70</f>
        <v>0</v>
      </c>
      <c r="K99" s="213" t="n">
        <f aca="false">K129*'0.DADES'!$D$70</f>
        <v>0</v>
      </c>
      <c r="L99" s="213" t="n">
        <f aca="false">L129*'0.DADES'!$D$70</f>
        <v>0</v>
      </c>
      <c r="M99" s="213" t="n">
        <f aca="false">M129*'0.DADES'!$D$70</f>
        <v>0</v>
      </c>
      <c r="N99" s="204"/>
      <c r="O99" s="204"/>
      <c r="P99" s="204"/>
      <c r="Q99" s="204"/>
      <c r="R99" s="204"/>
      <c r="S99" s="204"/>
    </row>
    <row r="100" customFormat="false" ht="13.5" hidden="false" customHeight="false" outlineLevel="0" collapsed="false">
      <c r="A100" s="191" t="str">
        <f aca="false">A70</f>
        <v>Centre de dia</v>
      </c>
      <c r="B100" s="191" t="str">
        <f aca="false">B70</f>
        <v>Sociocultural</v>
      </c>
      <c r="C100" s="191" t="n">
        <f aca="false">C70</f>
        <v>0</v>
      </c>
      <c r="D100" s="191" t="n">
        <f aca="false">D70</f>
        <v>621</v>
      </c>
      <c r="E100" s="191" t="n">
        <f aca="false">E70</f>
        <v>0</v>
      </c>
      <c r="F100" s="203" t="s">
        <v>354</v>
      </c>
      <c r="G100" s="212" t="s">
        <v>86</v>
      </c>
      <c r="H100" s="213" t="n">
        <f aca="false">H130*'0.DADES'!$D$70</f>
        <v>0</v>
      </c>
      <c r="I100" s="213" t="n">
        <f aca="false">I130*'0.DADES'!$D$70</f>
        <v>0</v>
      </c>
      <c r="J100" s="213" t="n">
        <f aca="false">J130*'0.DADES'!$D$70</f>
        <v>0</v>
      </c>
      <c r="K100" s="213" t="n">
        <f aca="false">K130*'0.DADES'!$D$70</f>
        <v>0</v>
      </c>
      <c r="L100" s="213" t="n">
        <f aca="false">L130*'0.DADES'!$D$70</f>
        <v>0</v>
      </c>
      <c r="M100" s="213" t="n">
        <f aca="false">M130*'0.DADES'!$D$70</f>
        <v>0</v>
      </c>
      <c r="N100" s="204"/>
      <c r="O100" s="204"/>
      <c r="P100" s="204"/>
      <c r="Q100" s="204"/>
      <c r="R100" s="204"/>
      <c r="S100" s="204"/>
    </row>
    <row r="101" customFormat="false" ht="13.5" hidden="false" customHeight="false" outlineLevel="0" collapsed="false">
      <c r="A101" s="191" t="str">
        <f aca="false">A71</f>
        <v>Oficines</v>
      </c>
      <c r="B101" s="191" t="str">
        <f aca="false">B71</f>
        <v>Administratiu</v>
      </c>
      <c r="C101" s="191" t="n">
        <f aca="false">C71</f>
        <v>0</v>
      </c>
      <c r="D101" s="191" t="n">
        <f aca="false">D71</f>
        <v>368</v>
      </c>
      <c r="E101" s="191" t="n">
        <f aca="false">E71</f>
        <v>0</v>
      </c>
      <c r="F101" s="203" t="s">
        <v>356</v>
      </c>
      <c r="G101" s="212" t="s">
        <v>86</v>
      </c>
      <c r="H101" s="213" t="n">
        <f aca="false">H131*'0.DADES'!$D$70</f>
        <v>0</v>
      </c>
      <c r="I101" s="213" t="n">
        <f aca="false">I131*'0.DADES'!$D$70</f>
        <v>0</v>
      </c>
      <c r="J101" s="213" t="n">
        <f aca="false">J131*'0.DADES'!$D$70</f>
        <v>0</v>
      </c>
      <c r="K101" s="213" t="n">
        <f aca="false">K131*'0.DADES'!$D$70</f>
        <v>0</v>
      </c>
      <c r="L101" s="213" t="n">
        <f aca="false">L131*'0.DADES'!$D$70</f>
        <v>0</v>
      </c>
      <c r="M101" s="213" t="n">
        <f aca="false">M131*'0.DADES'!$D$70</f>
        <v>0</v>
      </c>
      <c r="N101" s="204"/>
      <c r="O101" s="204"/>
      <c r="P101" s="204"/>
      <c r="Q101" s="204"/>
      <c r="R101" s="204"/>
      <c r="S101" s="204"/>
    </row>
    <row r="102" customFormat="false" ht="13.5" hidden="false" customHeight="false" outlineLevel="0" collapsed="false">
      <c r="A102" s="191" t="str">
        <f aca="false">A72</f>
        <v>Cultural</v>
      </c>
      <c r="B102" s="191" t="str">
        <f aca="false">B72</f>
        <v>Sociocultural</v>
      </c>
      <c r="C102" s="191" t="n">
        <f aca="false">C72</f>
        <v>0</v>
      </c>
      <c r="D102" s="191" t="n">
        <f aca="false">D72</f>
        <v>512</v>
      </c>
      <c r="E102" s="191" t="n">
        <f aca="false">E72</f>
        <v>0</v>
      </c>
      <c r="F102" s="203" t="s">
        <v>358</v>
      </c>
      <c r="G102" s="212" t="s">
        <v>86</v>
      </c>
      <c r="H102" s="213" t="n">
        <f aca="false">H132*'0.DADES'!$D$70</f>
        <v>0</v>
      </c>
      <c r="I102" s="213" t="n">
        <f aca="false">I132*'0.DADES'!$D$70</f>
        <v>0</v>
      </c>
      <c r="J102" s="213" t="n">
        <f aca="false">J132*'0.DADES'!$D$70</f>
        <v>0</v>
      </c>
      <c r="K102" s="213" t="n">
        <f aca="false">K132*'0.DADES'!$D$70</f>
        <v>0</v>
      </c>
      <c r="L102" s="213" t="n">
        <f aca="false">L132*'0.DADES'!$D$70</f>
        <v>0</v>
      </c>
      <c r="M102" s="213" t="n">
        <f aca="false">M132*'0.DADES'!$D$70</f>
        <v>0</v>
      </c>
      <c r="N102" s="204"/>
      <c r="O102" s="204"/>
      <c r="P102" s="204"/>
      <c r="Q102" s="204"/>
      <c r="R102" s="204"/>
      <c r="S102" s="204"/>
    </row>
    <row r="103" customFormat="false" ht="13.5" hidden="false" customHeight="false" outlineLevel="0" collapsed="false">
      <c r="A103" s="191" t="str">
        <f aca="false">A73</f>
        <v>Teatre municipal</v>
      </c>
      <c r="B103" s="191" t="str">
        <f aca="false">B73</f>
        <v>Sociocultural</v>
      </c>
      <c r="C103" s="191" t="n">
        <f aca="false">C73</f>
        <v>0</v>
      </c>
      <c r="D103" s="191" t="n">
        <f aca="false">D73</f>
        <v>837</v>
      </c>
      <c r="E103" s="191" t="n">
        <f aca="false">E73</f>
        <v>0</v>
      </c>
      <c r="F103" s="203" t="s">
        <v>360</v>
      </c>
      <c r="G103" s="212" t="s">
        <v>86</v>
      </c>
      <c r="H103" s="213" t="n">
        <f aca="false">H133*'0.DADES'!$D$70</f>
        <v>0</v>
      </c>
      <c r="I103" s="213" t="n">
        <f aca="false">I133*'0.DADES'!$D$70</f>
        <v>0</v>
      </c>
      <c r="J103" s="213" t="n">
        <f aca="false">J133*'0.DADES'!$D$70</f>
        <v>0</v>
      </c>
      <c r="K103" s="213" t="n">
        <f aca="false">K133*'0.DADES'!$D$70</f>
        <v>0</v>
      </c>
      <c r="L103" s="213" t="n">
        <f aca="false">L133*'0.DADES'!$D$70</f>
        <v>0</v>
      </c>
      <c r="M103" s="213" t="n">
        <f aca="false">M133*'0.DADES'!$D$70</f>
        <v>0</v>
      </c>
      <c r="N103" s="204"/>
      <c r="O103" s="204"/>
      <c r="P103" s="204"/>
      <c r="Q103" s="204"/>
      <c r="R103" s="204"/>
      <c r="S103" s="204"/>
    </row>
    <row r="104" customFormat="false" ht="13.5" hidden="false" customHeight="false" outlineLevel="0" collapsed="false">
      <c r="A104" s="191" t="str">
        <f aca="false">A74</f>
        <v>Escoleta municipal</v>
      </c>
      <c r="B104" s="191" t="str">
        <f aca="false">B74</f>
        <v>Educatiu</v>
      </c>
      <c r="C104" s="191" t="n">
        <f aca="false">C74</f>
        <v>0</v>
      </c>
      <c r="D104" s="191" t="n">
        <f aca="false">D74</f>
        <v>2393</v>
      </c>
      <c r="E104" s="191" t="n">
        <f aca="false">E74</f>
        <v>0</v>
      </c>
      <c r="F104" s="203" t="s">
        <v>362</v>
      </c>
      <c r="G104" s="212" t="s">
        <v>86</v>
      </c>
      <c r="H104" s="213" t="n">
        <f aca="false">H134*'0.DADES'!$D$70</f>
        <v>0</v>
      </c>
      <c r="I104" s="213" t="n">
        <f aca="false">I134*'0.DADES'!$D$70</f>
        <v>0</v>
      </c>
      <c r="J104" s="213" t="n">
        <f aca="false">J134*'0.DADES'!$D$70</f>
        <v>0</v>
      </c>
      <c r="K104" s="213" t="n">
        <f aca="false">K134*'0.DADES'!$D$70</f>
        <v>0</v>
      </c>
      <c r="L104" s="213" t="n">
        <f aca="false">L134*'0.DADES'!$D$70</f>
        <v>0</v>
      </c>
      <c r="M104" s="213" t="n">
        <f aca="false">M134*'0.DADES'!$D$70</f>
        <v>0</v>
      </c>
      <c r="N104" s="204"/>
      <c r="O104" s="204"/>
      <c r="P104" s="204"/>
      <c r="Q104" s="204"/>
      <c r="R104" s="204"/>
      <c r="S104" s="204"/>
    </row>
    <row r="105" customFormat="false" ht="13.5" hidden="false" customHeight="false" outlineLevel="0" collapsed="false">
      <c r="A105" s="191" t="str">
        <f aca="false">A75</f>
        <v>Residencial</v>
      </c>
      <c r="B105" s="191" t="str">
        <f aca="false">B75</f>
        <v>Altres</v>
      </c>
      <c r="C105" s="191" t="n">
        <f aca="false">C75</f>
        <v>0</v>
      </c>
      <c r="D105" s="191" t="n">
        <f aca="false">D75</f>
        <v>144</v>
      </c>
      <c r="E105" s="191" t="n">
        <f aca="false">E75</f>
        <v>0</v>
      </c>
      <c r="F105" s="203" t="s">
        <v>364</v>
      </c>
      <c r="G105" s="212" t="s">
        <v>86</v>
      </c>
      <c r="H105" s="213" t="n">
        <f aca="false">H135*'0.DADES'!$D$70</f>
        <v>0</v>
      </c>
      <c r="I105" s="213" t="n">
        <f aca="false">I135*'0.DADES'!$D$70</f>
        <v>0</v>
      </c>
      <c r="J105" s="213" t="n">
        <f aca="false">J135*'0.DADES'!$D$70</f>
        <v>0</v>
      </c>
      <c r="K105" s="213" t="n">
        <f aca="false">K135*'0.DADES'!$D$70</f>
        <v>0</v>
      </c>
      <c r="L105" s="213" t="n">
        <f aca="false">L135*'0.DADES'!$D$70</f>
        <v>0</v>
      </c>
      <c r="M105" s="213" t="n">
        <f aca="false">M135*'0.DADES'!$D$70</f>
        <v>0</v>
      </c>
      <c r="N105" s="204"/>
      <c r="O105" s="204"/>
      <c r="P105" s="204"/>
      <c r="Q105" s="204"/>
      <c r="R105" s="204"/>
      <c r="S105" s="204"/>
    </row>
    <row r="106" customFormat="false" ht="13.5" hidden="false" customHeight="false" outlineLevel="0" collapsed="false">
      <c r="A106" s="191" t="str">
        <f aca="false">A76</f>
        <v>Camp municipal s'Arracó</v>
      </c>
      <c r="B106" s="191" t="str">
        <f aca="false">B76</f>
        <v>Esportiu amb piscina</v>
      </c>
      <c r="C106" s="191" t="str">
        <f aca="false">C76</f>
        <v>si</v>
      </c>
      <c r="D106" s="191" t="n">
        <f aca="false">D76</f>
        <v>5488</v>
      </c>
      <c r="E106" s="191" t="n">
        <f aca="false">E76</f>
        <v>50</v>
      </c>
      <c r="F106" s="203" t="s">
        <v>366</v>
      </c>
      <c r="G106" s="212" t="s">
        <v>86</v>
      </c>
      <c r="H106" s="213" t="n">
        <f aca="false">H136*'0.DADES'!$D$70</f>
        <v>0</v>
      </c>
      <c r="I106" s="213" t="n">
        <f aca="false">I136*'0.DADES'!$D$70</f>
        <v>0</v>
      </c>
      <c r="J106" s="213" t="n">
        <f aca="false">J136*'0.DADES'!$D$70</f>
        <v>0</v>
      </c>
      <c r="K106" s="213" t="n">
        <f aca="false">K136*'0.DADES'!$D$70</f>
        <v>0</v>
      </c>
      <c r="L106" s="213" t="n">
        <f aca="false">L136*'0.DADES'!$D$70</f>
        <v>0</v>
      </c>
      <c r="M106" s="213" t="n">
        <f aca="false">M136*'0.DADES'!$D$70</f>
        <v>0</v>
      </c>
      <c r="N106" s="204"/>
      <c r="O106" s="204"/>
      <c r="P106" s="204"/>
      <c r="Q106" s="204"/>
      <c r="R106" s="204"/>
      <c r="S106" s="204"/>
    </row>
    <row r="107" customFormat="false" ht="13.5" hidden="false" customHeight="false" outlineLevel="0" collapsed="false">
      <c r="A107" s="191" t="str">
        <f aca="false">A77</f>
        <v>local comercial</v>
      </c>
      <c r="B107" s="191" t="str">
        <f aca="false">B77</f>
        <v>Altres</v>
      </c>
      <c r="C107" s="191" t="n">
        <f aca="false">C77</f>
        <v>0</v>
      </c>
      <c r="D107" s="191" t="n">
        <f aca="false">D77</f>
        <v>53</v>
      </c>
      <c r="E107" s="191" t="n">
        <f aca="false">E77</f>
        <v>0</v>
      </c>
      <c r="F107" s="203" t="s">
        <v>368</v>
      </c>
      <c r="G107" s="212" t="s">
        <v>86</v>
      </c>
      <c r="H107" s="213" t="n">
        <f aca="false">H137*'0.DADES'!$D$70</f>
        <v>0</v>
      </c>
      <c r="I107" s="213" t="n">
        <f aca="false">I137*'0.DADES'!$D$70</f>
        <v>0</v>
      </c>
      <c r="J107" s="213" t="n">
        <f aca="false">J137*'0.DADES'!$D$70</f>
        <v>0</v>
      </c>
      <c r="K107" s="213" t="n">
        <f aca="false">K137*'0.DADES'!$D$70</f>
        <v>0</v>
      </c>
      <c r="L107" s="213" t="n">
        <f aca="false">L137*'0.DADES'!$D$70</f>
        <v>0</v>
      </c>
      <c r="M107" s="213" t="n">
        <f aca="false">M137*'0.DADES'!$D$70</f>
        <v>0</v>
      </c>
      <c r="N107" s="204"/>
      <c r="O107" s="204"/>
      <c r="P107" s="204"/>
      <c r="Q107" s="204"/>
      <c r="R107" s="204"/>
      <c r="S107" s="204"/>
    </row>
    <row r="108" customFormat="false" ht="13.5" hidden="false" customHeight="false" outlineLevel="0" collapsed="false">
      <c r="A108" s="191" t="str">
        <f aca="false">A78</f>
        <v>Casa cultural i assistencial</v>
      </c>
      <c r="B108" s="191" t="str">
        <f aca="false">B78</f>
        <v>Sociocultural</v>
      </c>
      <c r="C108" s="191" t="n">
        <f aca="false">C78</f>
        <v>0</v>
      </c>
      <c r="D108" s="191" t="n">
        <f aca="false">D78</f>
        <v>348</v>
      </c>
      <c r="E108" s="191" t="n">
        <f aca="false">E78</f>
        <v>0</v>
      </c>
      <c r="F108" s="203" t="s">
        <v>370</v>
      </c>
      <c r="G108" s="212" t="s">
        <v>86</v>
      </c>
      <c r="H108" s="213" t="n">
        <f aca="false">H138*'0.DADES'!$D$70</f>
        <v>0</v>
      </c>
      <c r="I108" s="213" t="n">
        <f aca="false">I138*'0.DADES'!$D$70</f>
        <v>0</v>
      </c>
      <c r="J108" s="213" t="n">
        <f aca="false">J138*'0.DADES'!$D$70</f>
        <v>0</v>
      </c>
      <c r="K108" s="213" t="n">
        <f aca="false">K138*'0.DADES'!$D$70</f>
        <v>0</v>
      </c>
      <c r="L108" s="213" t="n">
        <f aca="false">L138*'0.DADES'!$D$70</f>
        <v>0</v>
      </c>
      <c r="M108" s="213" t="n">
        <f aca="false">M138*'0.DADES'!$D$70</f>
        <v>0</v>
      </c>
      <c r="N108" s="204"/>
      <c r="O108" s="204"/>
      <c r="P108" s="204"/>
      <c r="Q108" s="204"/>
      <c r="R108" s="204"/>
      <c r="S108" s="204"/>
    </row>
    <row r="109" customFormat="false" ht="13.5" hidden="false" customHeight="false" outlineLevel="0" collapsed="false">
      <c r="A109" s="191" t="str">
        <f aca="false">A79</f>
        <v>Centre de salut</v>
      </c>
      <c r="B109" s="191" t="str">
        <f aca="false">B79</f>
        <v>Sociocultural</v>
      </c>
      <c r="C109" s="191" t="n">
        <f aca="false">C79</f>
        <v>0</v>
      </c>
      <c r="D109" s="191" t="n">
        <f aca="false">D79</f>
        <v>727</v>
      </c>
      <c r="E109" s="191" t="n">
        <f aca="false">E79</f>
        <v>0</v>
      </c>
      <c r="F109" s="203" t="s">
        <v>372</v>
      </c>
      <c r="G109" s="212" t="s">
        <v>86</v>
      </c>
      <c r="H109" s="213" t="n">
        <f aca="false">H139*'0.DADES'!$D$70</f>
        <v>0</v>
      </c>
      <c r="I109" s="213" t="n">
        <f aca="false">I139*'0.DADES'!$D$70</f>
        <v>0</v>
      </c>
      <c r="J109" s="213" t="n">
        <f aca="false">J139*'0.DADES'!$D$70</f>
        <v>0</v>
      </c>
      <c r="K109" s="213" t="n">
        <f aca="false">K139*'0.DADES'!$D$70</f>
        <v>0</v>
      </c>
      <c r="L109" s="213" t="n">
        <f aca="false">L139*'0.DADES'!$D$70</f>
        <v>0</v>
      </c>
      <c r="M109" s="213" t="n">
        <f aca="false">M139*'0.DADES'!$D$70</f>
        <v>0</v>
      </c>
      <c r="N109" s="204"/>
      <c r="O109" s="204"/>
      <c r="P109" s="204"/>
      <c r="Q109" s="204"/>
      <c r="R109" s="204"/>
      <c r="S109" s="204"/>
    </row>
    <row r="110" customFormat="false" ht="13.5" hidden="false" customHeight="false" outlineLevel="0" collapsed="false">
      <c r="A110" s="191" t="str">
        <f aca="false">A80</f>
        <v>Institut Baltasar Porcel</v>
      </c>
      <c r="B110" s="191" t="str">
        <f aca="false">B80</f>
        <v>Educatiu</v>
      </c>
      <c r="C110" s="191" t="n">
        <f aca="false">C80</f>
        <v>0</v>
      </c>
      <c r="D110" s="191" t="n">
        <f aca="false">D80</f>
        <v>5361</v>
      </c>
      <c r="E110" s="191" t="n">
        <f aca="false">E80</f>
        <v>0</v>
      </c>
      <c r="F110" s="203" t="s">
        <v>374</v>
      </c>
      <c r="G110" s="212" t="s">
        <v>86</v>
      </c>
      <c r="H110" s="213" t="n">
        <f aca="false">H140*'0.DADES'!$D$70</f>
        <v>0</v>
      </c>
      <c r="I110" s="213" t="n">
        <f aca="false">I140*'0.DADES'!$D$70</f>
        <v>0</v>
      </c>
      <c r="J110" s="213" t="n">
        <f aca="false">J140*'0.DADES'!$D$70</f>
        <v>0</v>
      </c>
      <c r="K110" s="213" t="n">
        <f aca="false">K140*'0.DADES'!$D$70</f>
        <v>0</v>
      </c>
      <c r="L110" s="213" t="n">
        <f aca="false">L140*'0.DADES'!$D$70</f>
        <v>0</v>
      </c>
      <c r="M110" s="213" t="n">
        <f aca="false">M140*'0.DADES'!$D$70</f>
        <v>0</v>
      </c>
      <c r="N110" s="204"/>
      <c r="O110" s="204"/>
      <c r="P110" s="204"/>
      <c r="Q110" s="204"/>
      <c r="R110" s="204"/>
      <c r="S110" s="204"/>
    </row>
    <row r="111" customFormat="false" ht="13.5" hidden="false" customHeight="false" outlineLevel="0" collapsed="false">
      <c r="A111" s="191" t="str">
        <f aca="false">A81</f>
        <v>Escola Ses Bassetes</v>
      </c>
      <c r="B111" s="191" t="str">
        <f aca="false">B81</f>
        <v>Educatiu</v>
      </c>
      <c r="C111" s="191" t="n">
        <f aca="false">C81</f>
        <v>0</v>
      </c>
      <c r="D111" s="191" t="n">
        <f aca="false">D81</f>
        <v>238</v>
      </c>
      <c r="E111" s="191" t="n">
        <f aca="false">E81</f>
        <v>0</v>
      </c>
      <c r="F111" s="203" t="s">
        <v>376</v>
      </c>
      <c r="G111" s="212" t="s">
        <v>86</v>
      </c>
      <c r="H111" s="213" t="n">
        <f aca="false">H141*'0.DADES'!$D$70</f>
        <v>0</v>
      </c>
      <c r="I111" s="213" t="n">
        <f aca="false">I141*'0.DADES'!$D$70</f>
        <v>0</v>
      </c>
      <c r="J111" s="213" t="n">
        <f aca="false">J141*'0.DADES'!$D$70</f>
        <v>0</v>
      </c>
      <c r="K111" s="213" t="n">
        <f aca="false">K141*'0.DADES'!$D$70</f>
        <v>0</v>
      </c>
      <c r="L111" s="213" t="n">
        <f aca="false">L141*'0.DADES'!$D$70</f>
        <v>0</v>
      </c>
      <c r="M111" s="213" t="n">
        <f aca="false">M141*'0.DADES'!$D$70</f>
        <v>0</v>
      </c>
      <c r="N111" s="204"/>
      <c r="O111" s="204"/>
      <c r="P111" s="204"/>
      <c r="Q111" s="204"/>
      <c r="R111" s="204"/>
      <c r="S111" s="204"/>
    </row>
    <row r="112" customFormat="false" ht="13.5" hidden="false" customHeight="false" outlineLevel="0" collapsed="false">
      <c r="A112" s="191" t="str">
        <f aca="false">A82</f>
        <v>Escola Ses Bassetes</v>
      </c>
      <c r="B112" s="191" t="str">
        <f aca="false">B82</f>
        <v>Educatiu</v>
      </c>
      <c r="C112" s="191" t="n">
        <f aca="false">C82</f>
        <v>0</v>
      </c>
      <c r="D112" s="191" t="n">
        <f aca="false">D82</f>
        <v>238</v>
      </c>
      <c r="E112" s="191" t="n">
        <f aca="false">E82</f>
        <v>0</v>
      </c>
      <c r="F112" s="203" t="s">
        <v>377</v>
      </c>
      <c r="G112" s="212" t="s">
        <v>86</v>
      </c>
      <c r="H112" s="213" t="n">
        <f aca="false">H142*'0.DADES'!$D$70</f>
        <v>0</v>
      </c>
      <c r="I112" s="213" t="n">
        <f aca="false">I142*'0.DADES'!$D$70</f>
        <v>0</v>
      </c>
      <c r="J112" s="213" t="n">
        <f aca="false">J142*'0.DADES'!$D$70</f>
        <v>0</v>
      </c>
      <c r="K112" s="213" t="n">
        <f aca="false">K142*'0.DADES'!$D$70</f>
        <v>0</v>
      </c>
      <c r="L112" s="213" t="n">
        <f aca="false">L142*'0.DADES'!$D$70</f>
        <v>0</v>
      </c>
      <c r="M112" s="213" t="n">
        <f aca="false">M142*'0.DADES'!$D$70</f>
        <v>0</v>
      </c>
      <c r="N112" s="204"/>
      <c r="O112" s="204"/>
      <c r="P112" s="204"/>
      <c r="Q112" s="204"/>
      <c r="R112" s="204"/>
      <c r="S112" s="204"/>
    </row>
    <row r="113" customFormat="false" ht="13.5" hidden="false" customHeight="false" outlineLevel="0" collapsed="false">
      <c r="A113" s="191" t="str">
        <f aca="false">A83</f>
        <v>Local gent gran</v>
      </c>
      <c r="B113" s="191" t="str">
        <f aca="false">B83</f>
        <v>Sociocultural</v>
      </c>
      <c r="C113" s="191" t="n">
        <f aca="false">C83</f>
        <v>0</v>
      </c>
      <c r="D113" s="191" t="n">
        <f aca="false">D83</f>
        <v>936</v>
      </c>
      <c r="E113" s="191" t="n">
        <f aca="false">E83</f>
        <v>0</v>
      </c>
      <c r="F113" s="203" t="s">
        <v>379</v>
      </c>
      <c r="G113" s="212" t="s">
        <v>86</v>
      </c>
      <c r="H113" s="213" t="n">
        <f aca="false">H143*'0.DADES'!$D$70</f>
        <v>0</v>
      </c>
      <c r="I113" s="213" t="n">
        <f aca="false">I143*'0.DADES'!$D$70</f>
        <v>0</v>
      </c>
      <c r="J113" s="213" t="n">
        <f aca="false">J143*'0.DADES'!$D$70</f>
        <v>0</v>
      </c>
      <c r="K113" s="213" t="n">
        <f aca="false">K143*'0.DADES'!$D$70</f>
        <v>0</v>
      </c>
      <c r="L113" s="213" t="n">
        <f aca="false">L143*'0.DADES'!$D$70</f>
        <v>0</v>
      </c>
      <c r="M113" s="213" t="n">
        <f aca="false">M143*'0.DADES'!$D$70</f>
        <v>0</v>
      </c>
      <c r="N113" s="204"/>
      <c r="O113" s="204"/>
      <c r="P113" s="204"/>
      <c r="Q113" s="204"/>
      <c r="R113" s="204"/>
      <c r="S113" s="204"/>
    </row>
    <row r="114" customFormat="false" ht="13.5" hidden="false" customHeight="false" outlineLevel="0" collapsed="false">
      <c r="A114" s="191" t="n">
        <f aca="false">A84</f>
        <v>0</v>
      </c>
      <c r="B114" s="191" t="n">
        <f aca="false">B84</f>
        <v>0</v>
      </c>
      <c r="C114" s="191" t="n">
        <f aca="false">C84</f>
        <v>0</v>
      </c>
      <c r="D114" s="191" t="n">
        <f aca="false">D84</f>
        <v>0</v>
      </c>
      <c r="E114" s="191" t="n">
        <f aca="false">E84</f>
        <v>0</v>
      </c>
      <c r="F114" s="203"/>
      <c r="G114" s="212" t="s">
        <v>86</v>
      </c>
      <c r="H114" s="213" t="n">
        <f aca="false">H144*'0.DADES'!$D$70</f>
        <v>0</v>
      </c>
      <c r="I114" s="213" t="n">
        <f aca="false">I144*'0.DADES'!$D$70</f>
        <v>0</v>
      </c>
      <c r="J114" s="213" t="n">
        <f aca="false">J144*'0.DADES'!$D$70</f>
        <v>0</v>
      </c>
      <c r="K114" s="213" t="n">
        <f aca="false">K144*'0.DADES'!$D$70</f>
        <v>0</v>
      </c>
      <c r="L114" s="213" t="n">
        <f aca="false">L144*'0.DADES'!$D$70</f>
        <v>0</v>
      </c>
      <c r="M114" s="213" t="n">
        <f aca="false">M144*'0.DADES'!$D$70</f>
        <v>0</v>
      </c>
      <c r="N114" s="204"/>
      <c r="O114" s="204"/>
      <c r="P114" s="204"/>
      <c r="Q114" s="204"/>
      <c r="R114" s="204"/>
      <c r="S114" s="204"/>
    </row>
    <row r="115" customFormat="false" ht="13.5" hidden="false" customHeight="false" outlineLevel="0" collapsed="false">
      <c r="F115" s="209" t="s">
        <v>272</v>
      </c>
      <c r="G115" s="209"/>
      <c r="H115" s="214" t="n">
        <f aca="false">SUM(H89:H114)</f>
        <v>0</v>
      </c>
      <c r="I115" s="214" t="n">
        <f aca="false">SUM(I89:I114)</f>
        <v>0</v>
      </c>
      <c r="J115" s="214" t="n">
        <f aca="false">SUM(J89:J114)</f>
        <v>0</v>
      </c>
      <c r="K115" s="214" t="n">
        <f aca="false">SUM(K89:K114)</f>
        <v>0</v>
      </c>
      <c r="L115" s="214" t="n">
        <f aca="false">SUM(L89:L114)</f>
        <v>0</v>
      </c>
      <c r="M115" s="214" t="n">
        <f aca="false">SUM(M89:M114)</f>
        <v>0</v>
      </c>
      <c r="N115" s="192" t="n">
        <f aca="false">SUM(N89:N114)</f>
        <v>0</v>
      </c>
      <c r="O115" s="192" t="n">
        <f aca="false">SUM(O89:O114)</f>
        <v>0</v>
      </c>
      <c r="P115" s="192" t="n">
        <f aca="false">SUM(P89:P114)</f>
        <v>0</v>
      </c>
      <c r="Q115" s="192" t="n">
        <f aca="false">SUM(Q89:Q114)</f>
        <v>0</v>
      </c>
      <c r="R115" s="192" t="n">
        <f aca="false">SUM(R89:R114)</f>
        <v>0</v>
      </c>
      <c r="S115" s="192" t="n">
        <f aca="false">SUM(S89:S114)</f>
        <v>0</v>
      </c>
    </row>
    <row r="117" customFormat="false" ht="13.5" hidden="false" customHeight="false" outlineLevel="0" collapsed="false">
      <c r="A117" s="194"/>
      <c r="H117" s="182" t="s">
        <v>382</v>
      </c>
      <c r="I117" s="182"/>
      <c r="J117" s="182"/>
      <c r="K117" s="182"/>
      <c r="L117" s="182"/>
      <c r="M117" s="182"/>
    </row>
    <row r="118" customFormat="false" ht="13.5" hidden="false" customHeight="false" outlineLevel="0" collapsed="false">
      <c r="A118" s="182" t="s">
        <v>315</v>
      </c>
      <c r="B118" s="182" t="s">
        <v>324</v>
      </c>
      <c r="C118" s="182" t="s">
        <v>325</v>
      </c>
      <c r="D118" s="182" t="s">
        <v>326</v>
      </c>
      <c r="E118" s="182" t="s">
        <v>327</v>
      </c>
      <c r="F118" s="182" t="s">
        <v>328</v>
      </c>
      <c r="G118" s="182" t="s">
        <v>329</v>
      </c>
      <c r="H118" s="182" t="n">
        <f aca="false">H88</f>
        <v>2005</v>
      </c>
      <c r="I118" s="182" t="n">
        <f aca="false">I88</f>
        <v>2006</v>
      </c>
      <c r="J118" s="182" t="n">
        <f aca="false">J88</f>
        <v>2007</v>
      </c>
      <c r="K118" s="182" t="n">
        <f aca="false">K88</f>
        <v>2008</v>
      </c>
      <c r="L118" s="182" t="n">
        <f aca="false">L88</f>
        <v>2009</v>
      </c>
      <c r="M118" s="182" t="n">
        <f aca="false">M88</f>
        <v>2010</v>
      </c>
    </row>
    <row r="119" customFormat="false" ht="13.5" hidden="false" customHeight="false" outlineLevel="0" collapsed="false">
      <c r="A119" s="191" t="str">
        <f aca="false">A59</f>
        <v>Ajuntament Andratx</v>
      </c>
      <c r="B119" s="191" t="str">
        <f aca="false">B59</f>
        <v>Administratiu</v>
      </c>
      <c r="C119" s="191" t="str">
        <f aca="false">C59</f>
        <v>si</v>
      </c>
      <c r="D119" s="191" t="n">
        <f aca="false">D59</f>
        <v>3636</v>
      </c>
      <c r="E119" s="191" t="n">
        <f aca="false">E59</f>
        <v>220</v>
      </c>
      <c r="F119" s="191" t="str">
        <f aca="false">F59</f>
        <v>GZZ0571144001</v>
      </c>
      <c r="G119" s="212" t="s">
        <v>86</v>
      </c>
      <c r="H119" s="204"/>
      <c r="I119" s="204"/>
      <c r="J119" s="204"/>
      <c r="K119" s="204"/>
      <c r="L119" s="204"/>
      <c r="M119" s="204"/>
    </row>
    <row r="120" customFormat="false" ht="13.5" hidden="false" customHeight="false" outlineLevel="0" collapsed="false">
      <c r="A120" s="191" t="str">
        <f aca="false">A60</f>
        <v>Poliesportiu municipal Es vinyet</v>
      </c>
      <c r="B120" s="191" t="str">
        <f aca="false">B60</f>
        <v>Esportiu sense piscina</v>
      </c>
      <c r="C120" s="191" t="n">
        <f aca="false">C60</f>
        <v>0</v>
      </c>
      <c r="D120" s="191" t="n">
        <f aca="false">D60</f>
        <v>0</v>
      </c>
      <c r="E120" s="191" t="n">
        <f aca="false">E60</f>
        <v>0</v>
      </c>
      <c r="F120" s="191" t="str">
        <f aca="false">F60</f>
        <v>GZZ0187924001</v>
      </c>
      <c r="G120" s="212" t="s">
        <v>86</v>
      </c>
      <c r="H120" s="204"/>
      <c r="I120" s="204"/>
      <c r="J120" s="204"/>
      <c r="K120" s="204"/>
      <c r="L120" s="204"/>
      <c r="M120" s="204"/>
    </row>
    <row r="121" customFormat="false" ht="13.5" hidden="false" customHeight="false" outlineLevel="0" collapsed="false">
      <c r="A121" s="191" t="str">
        <f aca="false">A61</f>
        <v>Camp municipal Sa Plana</v>
      </c>
      <c r="B121" s="191" t="str">
        <f aca="false">B61</f>
        <v>Esportiu sense piscina</v>
      </c>
      <c r="C121" s="191" t="str">
        <f aca="false">C61</f>
        <v>si</v>
      </c>
      <c r="D121" s="191" t="n">
        <f aca="false">D61</f>
        <v>7543</v>
      </c>
      <c r="E121" s="191" t="n">
        <f aca="false">E61</f>
        <v>50</v>
      </c>
      <c r="F121" s="191" t="str">
        <f aca="false">F61</f>
        <v>GZZ0191090001</v>
      </c>
      <c r="G121" s="212" t="s">
        <v>86</v>
      </c>
      <c r="H121" s="204"/>
      <c r="I121" s="204"/>
      <c r="J121" s="204"/>
      <c r="K121" s="204"/>
      <c r="L121" s="204"/>
      <c r="M121" s="204"/>
    </row>
    <row r="122" customFormat="false" ht="13.5" hidden="false" customHeight="false" outlineLevel="0" collapsed="false">
      <c r="A122" s="191" t="str">
        <f aca="false">A62</f>
        <v>Cementiri s'Arracó</v>
      </c>
      <c r="B122" s="191" t="str">
        <f aca="false">B62</f>
        <v>Sociocultural</v>
      </c>
      <c r="C122" s="191" t="n">
        <f aca="false">C62</f>
        <v>0</v>
      </c>
      <c r="D122" s="191" t="n">
        <f aca="false">D62</f>
        <v>0</v>
      </c>
      <c r="E122" s="191" t="n">
        <f aca="false">E62</f>
        <v>0</v>
      </c>
      <c r="F122" s="191" t="str">
        <f aca="false">F62</f>
        <v>GZZ0191976001</v>
      </c>
      <c r="G122" s="212" t="s">
        <v>86</v>
      </c>
      <c r="H122" s="204"/>
      <c r="I122" s="204"/>
      <c r="J122" s="204"/>
      <c r="K122" s="204"/>
      <c r="L122" s="204"/>
      <c r="M122" s="204"/>
    </row>
    <row r="123" customFormat="false" ht="13.5" hidden="false" customHeight="false" outlineLevel="0" collapsed="false">
      <c r="A123" s="191" t="str">
        <f aca="false">A63</f>
        <v>Col·legi</v>
      </c>
      <c r="B123" s="191" t="str">
        <f aca="false">B63</f>
        <v>Educatiu</v>
      </c>
      <c r="C123" s="191" t="n">
        <f aca="false">C63</f>
        <v>0</v>
      </c>
      <c r="D123" s="191" t="n">
        <f aca="false">D63</f>
        <v>0</v>
      </c>
      <c r="E123" s="191" t="n">
        <f aca="false">E63</f>
        <v>0</v>
      </c>
      <c r="F123" s="191" t="str">
        <f aca="false">F63</f>
        <v>GZZ0508705001</v>
      </c>
      <c r="G123" s="212" t="s">
        <v>86</v>
      </c>
      <c r="H123" s="204"/>
      <c r="I123" s="204"/>
      <c r="J123" s="204"/>
      <c r="K123" s="204"/>
      <c r="L123" s="204"/>
      <c r="M123" s="204"/>
    </row>
    <row r="124" customFormat="false" ht="13.5" hidden="false" customHeight="false" outlineLevel="0" collapsed="false">
      <c r="A124" s="191" t="str">
        <f aca="false">A64</f>
        <v>Palau d'esports</v>
      </c>
      <c r="B124" s="191" t="str">
        <f aca="false">B64</f>
        <v>Esportiu amb piscina</v>
      </c>
      <c r="C124" s="191" t="str">
        <f aca="false">C64</f>
        <v>si</v>
      </c>
      <c r="D124" s="191" t="n">
        <f aca="false">D64</f>
        <v>5676</v>
      </c>
      <c r="E124" s="191" t="n">
        <f aca="false">E64</f>
        <v>300</v>
      </c>
      <c r="F124" s="191" t="str">
        <f aca="false">F64</f>
        <v>GZZ0543453001</v>
      </c>
      <c r="G124" s="212" t="s">
        <v>86</v>
      </c>
      <c r="H124" s="204"/>
      <c r="I124" s="204"/>
      <c r="J124" s="204"/>
      <c r="K124" s="204"/>
      <c r="L124" s="204"/>
      <c r="M124" s="204"/>
    </row>
    <row r="125" customFormat="false" ht="13.5" hidden="false" customHeight="false" outlineLevel="0" collapsed="false">
      <c r="A125" s="191" t="str">
        <f aca="false">A65</f>
        <v>Escola de música</v>
      </c>
      <c r="B125" s="191" t="str">
        <f aca="false">B65</f>
        <v>Educatiu</v>
      </c>
      <c r="C125" s="191" t="n">
        <f aca="false">C65</f>
        <v>0</v>
      </c>
      <c r="D125" s="191" t="n">
        <f aca="false">D65</f>
        <v>469</v>
      </c>
      <c r="E125" s="191" t="n">
        <f aca="false">E65</f>
        <v>0</v>
      </c>
      <c r="F125" s="191" t="str">
        <f aca="false">F65</f>
        <v>GZZ0568978001</v>
      </c>
      <c r="G125" s="212" t="s">
        <v>86</v>
      </c>
      <c r="H125" s="204"/>
      <c r="I125" s="204"/>
      <c r="J125" s="204"/>
      <c r="K125" s="204"/>
      <c r="L125" s="204"/>
      <c r="M125" s="204"/>
    </row>
    <row r="126" customFormat="false" ht="13.5" hidden="false" customHeight="false" outlineLevel="0" collapsed="false">
      <c r="A126" s="191" t="str">
        <f aca="false">A66</f>
        <v>Cementeri municipal Andratx</v>
      </c>
      <c r="B126" s="191" t="str">
        <f aca="false">B66</f>
        <v>Sociocultural</v>
      </c>
      <c r="C126" s="191" t="n">
        <f aca="false">C66</f>
        <v>0</v>
      </c>
      <c r="D126" s="191" t="n">
        <f aca="false">D66</f>
        <v>2949</v>
      </c>
      <c r="E126" s="191" t="n">
        <f aca="false">E66</f>
        <v>0</v>
      </c>
      <c r="F126" s="191" t="str">
        <f aca="false">F66</f>
        <v>GZZ0577099001</v>
      </c>
      <c r="G126" s="212" t="s">
        <v>86</v>
      </c>
      <c r="H126" s="204"/>
      <c r="I126" s="204"/>
      <c r="J126" s="204"/>
      <c r="K126" s="204"/>
      <c r="L126" s="204"/>
      <c r="M126" s="204"/>
    </row>
    <row r="127" customFormat="false" ht="13.5" hidden="false" customHeight="false" outlineLevel="0" collapsed="false">
      <c r="A127" s="191" t="str">
        <f aca="false">A67</f>
        <v>Parc verd</v>
      </c>
      <c r="B127" s="191" t="str">
        <f aca="false">B67</f>
        <v>Sociocultural</v>
      </c>
      <c r="C127" s="191" t="n">
        <f aca="false">C67</f>
        <v>0</v>
      </c>
      <c r="D127" s="191" t="n">
        <f aca="false">D67</f>
        <v>444</v>
      </c>
      <c r="E127" s="191" t="n">
        <f aca="false">E67</f>
        <v>0</v>
      </c>
      <c r="F127" s="191" t="str">
        <f aca="false">F67</f>
        <v>GZZ0594781001</v>
      </c>
      <c r="G127" s="212" t="s">
        <v>86</v>
      </c>
      <c r="H127" s="204"/>
      <c r="I127" s="204"/>
      <c r="J127" s="204"/>
      <c r="K127" s="204"/>
      <c r="L127" s="204"/>
      <c r="M127" s="204"/>
    </row>
    <row r="128" customFormat="false" ht="13.5" hidden="false" customHeight="false" outlineLevel="0" collapsed="false">
      <c r="A128" s="191" t="str">
        <f aca="false">A68</f>
        <v>Biblioteca </v>
      </c>
      <c r="B128" s="191" t="str">
        <f aca="false">B68</f>
        <v>Sociocultural</v>
      </c>
      <c r="C128" s="191" t="str">
        <f aca="false">C68</f>
        <v>si</v>
      </c>
      <c r="D128" s="191" t="n">
        <f aca="false">D68</f>
        <v>683</v>
      </c>
      <c r="E128" s="191" t="n">
        <f aca="false">E68</f>
        <v>53</v>
      </c>
      <c r="F128" s="191" t="str">
        <f aca="false">F68</f>
        <v>GZZ0188622001</v>
      </c>
      <c r="G128" s="212" t="s">
        <v>86</v>
      </c>
      <c r="H128" s="204"/>
      <c r="I128" s="204"/>
      <c r="J128" s="204"/>
      <c r="K128" s="204"/>
      <c r="L128" s="204"/>
      <c r="M128" s="204"/>
    </row>
    <row r="129" customFormat="false" ht="13.5" hidden="false" customHeight="false" outlineLevel="0" collapsed="false">
      <c r="A129" s="191" t="str">
        <f aca="false">A69</f>
        <v>Local cultural</v>
      </c>
      <c r="B129" s="191" t="str">
        <f aca="false">B69</f>
        <v>Sociocultural</v>
      </c>
      <c r="C129" s="191" t="n">
        <f aca="false">C69</f>
        <v>0</v>
      </c>
      <c r="D129" s="191" t="n">
        <f aca="false">D69</f>
        <v>938</v>
      </c>
      <c r="E129" s="191" t="n">
        <f aca="false">E69</f>
        <v>0</v>
      </c>
      <c r="F129" s="191" t="str">
        <f aca="false">F69</f>
        <v>GZZ0187633001</v>
      </c>
      <c r="G129" s="212" t="s">
        <v>86</v>
      </c>
      <c r="H129" s="204"/>
      <c r="I129" s="204"/>
      <c r="J129" s="204"/>
      <c r="K129" s="204"/>
      <c r="L129" s="204"/>
      <c r="M129" s="204"/>
    </row>
    <row r="130" customFormat="false" ht="13.5" hidden="false" customHeight="false" outlineLevel="0" collapsed="false">
      <c r="A130" s="191" t="str">
        <f aca="false">A70</f>
        <v>Centre de dia</v>
      </c>
      <c r="B130" s="191" t="str">
        <f aca="false">B70</f>
        <v>Sociocultural</v>
      </c>
      <c r="C130" s="191" t="n">
        <f aca="false">C70</f>
        <v>0</v>
      </c>
      <c r="D130" s="191" t="n">
        <f aca="false">D70</f>
        <v>621</v>
      </c>
      <c r="E130" s="191" t="n">
        <f aca="false">E70</f>
        <v>0</v>
      </c>
      <c r="F130" s="191" t="str">
        <f aca="false">F70</f>
        <v>GZZ0187728002</v>
      </c>
      <c r="G130" s="212" t="s">
        <v>86</v>
      </c>
      <c r="H130" s="204"/>
      <c r="I130" s="204"/>
      <c r="J130" s="204"/>
      <c r="K130" s="204"/>
      <c r="L130" s="204"/>
      <c r="M130" s="204"/>
    </row>
    <row r="131" customFormat="false" ht="13.5" hidden="false" customHeight="false" outlineLevel="0" collapsed="false">
      <c r="A131" s="191" t="str">
        <f aca="false">A71</f>
        <v>Oficines</v>
      </c>
      <c r="B131" s="191" t="str">
        <f aca="false">B71</f>
        <v>Administratiu</v>
      </c>
      <c r="C131" s="191" t="n">
        <f aca="false">C71</f>
        <v>0</v>
      </c>
      <c r="D131" s="191" t="n">
        <f aca="false">D71</f>
        <v>368</v>
      </c>
      <c r="E131" s="191" t="n">
        <f aca="false">E71</f>
        <v>0</v>
      </c>
      <c r="F131" s="191" t="str">
        <f aca="false">F71</f>
        <v>GZZ0188623001</v>
      </c>
      <c r="G131" s="212" t="s">
        <v>86</v>
      </c>
      <c r="H131" s="204"/>
      <c r="I131" s="204"/>
      <c r="J131" s="204"/>
      <c r="K131" s="204"/>
      <c r="L131" s="204"/>
      <c r="M131" s="204"/>
    </row>
    <row r="132" customFormat="false" ht="13.5" hidden="false" customHeight="false" outlineLevel="0" collapsed="false">
      <c r="A132" s="191" t="str">
        <f aca="false">A72</f>
        <v>Cultural</v>
      </c>
      <c r="B132" s="191" t="str">
        <f aca="false">B72</f>
        <v>Sociocultural</v>
      </c>
      <c r="C132" s="191" t="n">
        <f aca="false">C72</f>
        <v>0</v>
      </c>
      <c r="D132" s="191" t="n">
        <f aca="false">D72</f>
        <v>512</v>
      </c>
      <c r="E132" s="191" t="n">
        <f aca="false">E72</f>
        <v>0</v>
      </c>
      <c r="F132" s="191" t="str">
        <f aca="false">F72</f>
        <v>GZZ0187157001</v>
      </c>
      <c r="G132" s="212" t="s">
        <v>86</v>
      </c>
      <c r="H132" s="204"/>
      <c r="I132" s="204"/>
      <c r="J132" s="204"/>
      <c r="K132" s="204"/>
      <c r="L132" s="204"/>
      <c r="M132" s="204"/>
    </row>
    <row r="133" customFormat="false" ht="13.5" hidden="false" customHeight="false" outlineLevel="0" collapsed="false">
      <c r="A133" s="191" t="str">
        <f aca="false">A73</f>
        <v>Teatre municipal</v>
      </c>
      <c r="B133" s="191" t="str">
        <f aca="false">B73</f>
        <v>Sociocultural</v>
      </c>
      <c r="C133" s="191" t="n">
        <f aca="false">C73</f>
        <v>0</v>
      </c>
      <c r="D133" s="191" t="n">
        <f aca="false">D73</f>
        <v>837</v>
      </c>
      <c r="E133" s="191" t="n">
        <f aca="false">E73</f>
        <v>0</v>
      </c>
      <c r="F133" s="191" t="str">
        <f aca="false">F73</f>
        <v>GZZ0190107001</v>
      </c>
      <c r="G133" s="212" t="s">
        <v>86</v>
      </c>
      <c r="H133" s="204"/>
      <c r="I133" s="204"/>
      <c r="J133" s="204"/>
      <c r="K133" s="204"/>
      <c r="L133" s="204"/>
      <c r="M133" s="204"/>
    </row>
    <row r="134" customFormat="false" ht="13.5" hidden="false" customHeight="false" outlineLevel="0" collapsed="false">
      <c r="A134" s="191" t="str">
        <f aca="false">A74</f>
        <v>Escoleta municipal</v>
      </c>
      <c r="B134" s="191" t="str">
        <f aca="false">B74</f>
        <v>Educatiu</v>
      </c>
      <c r="C134" s="191" t="n">
        <f aca="false">C74</f>
        <v>0</v>
      </c>
      <c r="D134" s="191" t="n">
        <f aca="false">D74</f>
        <v>2393</v>
      </c>
      <c r="E134" s="191" t="n">
        <f aca="false">E74</f>
        <v>0</v>
      </c>
      <c r="F134" s="191" t="str">
        <f aca="false">F74</f>
        <v>GZZ0548407001</v>
      </c>
      <c r="G134" s="212" t="s">
        <v>86</v>
      </c>
      <c r="H134" s="204"/>
      <c r="I134" s="204"/>
      <c r="J134" s="204"/>
      <c r="K134" s="204"/>
      <c r="L134" s="204"/>
      <c r="M134" s="204"/>
    </row>
    <row r="135" customFormat="false" ht="13.5" hidden="false" customHeight="false" outlineLevel="0" collapsed="false">
      <c r="A135" s="191" t="str">
        <f aca="false">A75</f>
        <v>Residencial</v>
      </c>
      <c r="B135" s="191" t="str">
        <f aca="false">B75</f>
        <v>Altres</v>
      </c>
      <c r="C135" s="191" t="n">
        <f aca="false">C75</f>
        <v>0</v>
      </c>
      <c r="D135" s="191" t="n">
        <f aca="false">D75</f>
        <v>144</v>
      </c>
      <c r="E135" s="191" t="n">
        <f aca="false">E75</f>
        <v>0</v>
      </c>
      <c r="F135" s="191" t="str">
        <f aca="false">F75</f>
        <v>GZZ0188047001</v>
      </c>
      <c r="G135" s="212" t="s">
        <v>86</v>
      </c>
      <c r="H135" s="204"/>
      <c r="I135" s="204"/>
      <c r="J135" s="204"/>
      <c r="K135" s="204"/>
      <c r="L135" s="204"/>
      <c r="M135" s="204"/>
    </row>
    <row r="136" customFormat="false" ht="13.5" hidden="false" customHeight="false" outlineLevel="0" collapsed="false">
      <c r="A136" s="191" t="str">
        <f aca="false">A76</f>
        <v>Camp municipal s'Arracó</v>
      </c>
      <c r="B136" s="191" t="str">
        <f aca="false">B76</f>
        <v>Esportiu amb piscina</v>
      </c>
      <c r="C136" s="191" t="str">
        <f aca="false">C76</f>
        <v>si</v>
      </c>
      <c r="D136" s="191" t="n">
        <f aca="false">D76</f>
        <v>5488</v>
      </c>
      <c r="E136" s="191" t="n">
        <f aca="false">E76</f>
        <v>50</v>
      </c>
      <c r="F136" s="191" t="str">
        <f aca="false">F76</f>
        <v>GZZ0190645001</v>
      </c>
      <c r="G136" s="212" t="s">
        <v>86</v>
      </c>
      <c r="H136" s="204"/>
      <c r="I136" s="204"/>
      <c r="J136" s="204"/>
      <c r="K136" s="204"/>
      <c r="L136" s="204"/>
      <c r="M136" s="204"/>
    </row>
    <row r="137" customFormat="false" ht="13.5" hidden="false" customHeight="false" outlineLevel="0" collapsed="false">
      <c r="A137" s="191" t="str">
        <f aca="false">A77</f>
        <v>local comercial</v>
      </c>
      <c r="B137" s="191" t="str">
        <f aca="false">B77</f>
        <v>Altres</v>
      </c>
      <c r="C137" s="191" t="n">
        <f aca="false">C77</f>
        <v>0</v>
      </c>
      <c r="D137" s="191" t="n">
        <f aca="false">D77</f>
        <v>53</v>
      </c>
      <c r="E137" s="191" t="n">
        <f aca="false">E77</f>
        <v>0</v>
      </c>
      <c r="F137" s="191" t="str">
        <f aca="false">F77</f>
        <v>GZZ0187881001</v>
      </c>
      <c r="G137" s="212" t="s">
        <v>86</v>
      </c>
      <c r="H137" s="204"/>
      <c r="I137" s="204"/>
      <c r="J137" s="204"/>
      <c r="K137" s="204"/>
      <c r="L137" s="204"/>
      <c r="M137" s="204"/>
    </row>
    <row r="138" customFormat="false" ht="13.5" hidden="false" customHeight="false" outlineLevel="0" collapsed="false">
      <c r="A138" s="191" t="str">
        <f aca="false">A78</f>
        <v>Casa cultural i assistencial</v>
      </c>
      <c r="B138" s="191" t="str">
        <f aca="false">B78</f>
        <v>Sociocultural</v>
      </c>
      <c r="C138" s="191" t="n">
        <f aca="false">C78</f>
        <v>0</v>
      </c>
      <c r="D138" s="191" t="n">
        <f aca="false">D78</f>
        <v>348</v>
      </c>
      <c r="E138" s="191" t="n">
        <f aca="false">E78</f>
        <v>0</v>
      </c>
      <c r="F138" s="191" t="str">
        <f aca="false">F78</f>
        <v>GZZ0188633001</v>
      </c>
      <c r="G138" s="212" t="s">
        <v>86</v>
      </c>
      <c r="H138" s="204"/>
      <c r="I138" s="204"/>
      <c r="J138" s="204"/>
      <c r="K138" s="204"/>
      <c r="L138" s="204"/>
      <c r="M138" s="204"/>
    </row>
    <row r="139" customFormat="false" ht="13.5" hidden="false" customHeight="false" outlineLevel="0" collapsed="false">
      <c r="A139" s="191" t="str">
        <f aca="false">A79</f>
        <v>Centre de salut</v>
      </c>
      <c r="B139" s="191" t="str">
        <f aca="false">B79</f>
        <v>Sociocultural</v>
      </c>
      <c r="C139" s="191" t="n">
        <f aca="false">C79</f>
        <v>0</v>
      </c>
      <c r="D139" s="191" t="n">
        <f aca="false">D79</f>
        <v>727</v>
      </c>
      <c r="E139" s="191" t="n">
        <f aca="false">E79</f>
        <v>0</v>
      </c>
      <c r="F139" s="191" t="str">
        <f aca="false">F79</f>
        <v>GZZ0187982001</v>
      </c>
      <c r="G139" s="212" t="s">
        <v>86</v>
      </c>
      <c r="H139" s="204"/>
      <c r="I139" s="204"/>
      <c r="J139" s="204"/>
      <c r="K139" s="204"/>
      <c r="L139" s="204"/>
      <c r="M139" s="204"/>
    </row>
    <row r="140" customFormat="false" ht="13.5" hidden="false" customHeight="false" outlineLevel="0" collapsed="false">
      <c r="A140" s="191" t="str">
        <f aca="false">A80</f>
        <v>Institut Baltasar Porcel</v>
      </c>
      <c r="B140" s="191" t="str">
        <f aca="false">B80</f>
        <v>Educatiu</v>
      </c>
      <c r="C140" s="191" t="n">
        <f aca="false">C80</f>
        <v>0</v>
      </c>
      <c r="D140" s="191" t="n">
        <f aca="false">D80</f>
        <v>5361</v>
      </c>
      <c r="E140" s="191" t="n">
        <f aca="false">E80</f>
        <v>0</v>
      </c>
      <c r="F140" s="191" t="str">
        <f aca="false">F80</f>
        <v>GZZ0191848001</v>
      </c>
      <c r="G140" s="212" t="s">
        <v>86</v>
      </c>
      <c r="H140" s="204"/>
      <c r="I140" s="204"/>
      <c r="J140" s="204"/>
      <c r="K140" s="204"/>
      <c r="L140" s="204"/>
      <c r="M140" s="204"/>
    </row>
    <row r="141" customFormat="false" ht="13.5" hidden="false" customHeight="false" outlineLevel="0" collapsed="false">
      <c r="A141" s="191" t="str">
        <f aca="false">A81</f>
        <v>Escola Ses Bassetes</v>
      </c>
      <c r="B141" s="191" t="str">
        <f aca="false">B81</f>
        <v>Educatiu</v>
      </c>
      <c r="C141" s="191" t="n">
        <f aca="false">C81</f>
        <v>0</v>
      </c>
      <c r="D141" s="191" t="n">
        <f aca="false">D81</f>
        <v>238</v>
      </c>
      <c r="E141" s="191" t="n">
        <f aca="false">E81</f>
        <v>0</v>
      </c>
      <c r="F141" s="191" t="str">
        <f aca="false">F81</f>
        <v>GZZ0188223001</v>
      </c>
      <c r="G141" s="212" t="s">
        <v>86</v>
      </c>
      <c r="H141" s="204"/>
      <c r="I141" s="204"/>
      <c r="J141" s="204"/>
      <c r="K141" s="204"/>
      <c r="L141" s="204"/>
      <c r="M141" s="204"/>
    </row>
    <row r="142" customFormat="false" ht="13.5" hidden="false" customHeight="false" outlineLevel="0" collapsed="false">
      <c r="A142" s="191" t="str">
        <f aca="false">A82</f>
        <v>Escola Ses Bassetes</v>
      </c>
      <c r="B142" s="191" t="str">
        <f aca="false">B82</f>
        <v>Educatiu</v>
      </c>
      <c r="C142" s="191" t="n">
        <f aca="false">C82</f>
        <v>0</v>
      </c>
      <c r="D142" s="191" t="n">
        <f aca="false">D82</f>
        <v>238</v>
      </c>
      <c r="E142" s="191" t="n">
        <f aca="false">E82</f>
        <v>0</v>
      </c>
      <c r="F142" s="191" t="str">
        <f aca="false">F82</f>
        <v>GZZ0188221001</v>
      </c>
      <c r="G142" s="212" t="s">
        <v>86</v>
      </c>
      <c r="H142" s="204"/>
      <c r="I142" s="204"/>
      <c r="J142" s="204"/>
      <c r="K142" s="204"/>
      <c r="L142" s="204"/>
      <c r="M142" s="204"/>
    </row>
    <row r="143" customFormat="false" ht="13.5" hidden="false" customHeight="false" outlineLevel="0" collapsed="false">
      <c r="A143" s="191" t="str">
        <f aca="false">A83</f>
        <v>Local gent gran</v>
      </c>
      <c r="B143" s="191" t="str">
        <f aca="false">B83</f>
        <v>Sociocultural</v>
      </c>
      <c r="C143" s="191" t="n">
        <f aca="false">C83</f>
        <v>0</v>
      </c>
      <c r="D143" s="191" t="n">
        <f aca="false">D83</f>
        <v>936</v>
      </c>
      <c r="E143" s="191" t="n">
        <f aca="false">E83</f>
        <v>0</v>
      </c>
      <c r="F143" s="191" t="str">
        <f aca="false">F83</f>
        <v>GZZ0189414001</v>
      </c>
      <c r="G143" s="212" t="s">
        <v>86</v>
      </c>
      <c r="H143" s="204"/>
      <c r="I143" s="204"/>
      <c r="J143" s="204"/>
      <c r="K143" s="204"/>
      <c r="L143" s="204"/>
      <c r="M143" s="204"/>
    </row>
    <row r="144" customFormat="false" ht="13.5" hidden="false" customHeight="false" outlineLevel="0" collapsed="false">
      <c r="A144" s="191" t="n">
        <f aca="false">A84</f>
        <v>0</v>
      </c>
      <c r="B144" s="191" t="n">
        <f aca="false">B84</f>
        <v>0</v>
      </c>
      <c r="C144" s="191" t="n">
        <f aca="false">C84</f>
        <v>0</v>
      </c>
      <c r="D144" s="191" t="n">
        <f aca="false">D84</f>
        <v>0</v>
      </c>
      <c r="E144" s="191" t="n">
        <f aca="false">E84</f>
        <v>0</v>
      </c>
      <c r="F144" s="191" t="n">
        <f aca="false">F84</f>
        <v>0</v>
      </c>
      <c r="G144" s="212" t="s">
        <v>86</v>
      </c>
      <c r="H144" s="204"/>
      <c r="I144" s="204"/>
      <c r="J144" s="204"/>
      <c r="K144" s="204"/>
      <c r="L144" s="204"/>
      <c r="M144" s="204"/>
    </row>
    <row r="145" customFormat="false" ht="13.5" hidden="false" customHeight="false" outlineLevel="0" collapsed="false">
      <c r="F145" s="209" t="s">
        <v>272</v>
      </c>
      <c r="G145" s="209"/>
      <c r="H145" s="192" t="n">
        <f aca="false">SUM(H119:H144)</f>
        <v>0</v>
      </c>
      <c r="I145" s="192" t="n">
        <f aca="false">SUM(I119:I144)</f>
        <v>0</v>
      </c>
      <c r="J145" s="192" t="n">
        <f aca="false">SUM(J119:J144)</f>
        <v>0</v>
      </c>
      <c r="K145" s="192" t="n">
        <f aca="false">SUM(K119:K144)</f>
        <v>0</v>
      </c>
      <c r="L145" s="192" t="n">
        <f aca="false">SUM(L119:L144)</f>
        <v>0</v>
      </c>
      <c r="M145" s="192" t="n">
        <f aca="false">SUM(M119:M144)</f>
        <v>0</v>
      </c>
    </row>
    <row r="148" customFormat="false" ht="13.5" hidden="false" customHeight="false" outlineLevel="0" collapsed="false">
      <c r="A148" s="194" t="s">
        <v>383</v>
      </c>
      <c r="H148" s="182" t="s">
        <v>321</v>
      </c>
      <c r="I148" s="182"/>
      <c r="J148" s="182"/>
      <c r="K148" s="182"/>
      <c r="L148" s="182"/>
      <c r="M148" s="182"/>
      <c r="N148" s="182" t="s">
        <v>322</v>
      </c>
      <c r="O148" s="182"/>
      <c r="P148" s="182"/>
      <c r="Q148" s="182"/>
      <c r="R148" s="182"/>
      <c r="S148" s="182"/>
      <c r="T148" s="195"/>
      <c r="U148" s="195"/>
      <c r="V148" s="195"/>
      <c r="W148" s="195"/>
      <c r="X148" s="195"/>
      <c r="Y148" s="195"/>
      <c r="Z148" s="195"/>
      <c r="AA148" s="195"/>
      <c r="AB148" s="195"/>
      <c r="AC148" s="195"/>
      <c r="AD148" s="195"/>
      <c r="AE148" s="195"/>
      <c r="AF148" s="195"/>
      <c r="AG148" s="195"/>
      <c r="AH148" s="195"/>
      <c r="AI148" s="195"/>
      <c r="AJ148" s="195"/>
      <c r="AK148" s="195"/>
      <c r="AL148" s="195"/>
      <c r="AM148" s="195"/>
    </row>
    <row r="149" customFormat="false" ht="13.5" hidden="false" customHeight="false" outlineLevel="0" collapsed="false">
      <c r="A149" s="182" t="s">
        <v>315</v>
      </c>
      <c r="B149" s="182" t="s">
        <v>324</v>
      </c>
      <c r="C149" s="182" t="s">
        <v>325</v>
      </c>
      <c r="D149" s="182" t="s">
        <v>326</v>
      </c>
      <c r="E149" s="182" t="s">
        <v>327</v>
      </c>
      <c r="F149" s="182" t="s">
        <v>328</v>
      </c>
      <c r="G149" s="182" t="s">
        <v>329</v>
      </c>
      <c r="H149" s="182" t="n">
        <f aca="false">B6</f>
        <v>2005</v>
      </c>
      <c r="I149" s="182" t="n">
        <f aca="false">C6</f>
        <v>2006</v>
      </c>
      <c r="J149" s="182" t="n">
        <f aca="false">D6</f>
        <v>2007</v>
      </c>
      <c r="K149" s="182" t="n">
        <f aca="false">E6</f>
        <v>2008</v>
      </c>
      <c r="L149" s="182" t="n">
        <f aca="false">F6</f>
        <v>2009</v>
      </c>
      <c r="M149" s="182" t="n">
        <f aca="false">G6</f>
        <v>2010</v>
      </c>
      <c r="N149" s="182" t="n">
        <f aca="false">H149</f>
        <v>2005</v>
      </c>
      <c r="O149" s="182" t="n">
        <f aca="false">I149</f>
        <v>2006</v>
      </c>
      <c r="P149" s="182" t="n">
        <f aca="false">J149</f>
        <v>2007</v>
      </c>
      <c r="Q149" s="182" t="n">
        <f aca="false">K149</f>
        <v>2008</v>
      </c>
      <c r="R149" s="182" t="n">
        <f aca="false">L149</f>
        <v>2009</v>
      </c>
      <c r="S149" s="182" t="n">
        <f aca="false">M149</f>
        <v>2010</v>
      </c>
      <c r="T149" s="195"/>
      <c r="U149" s="195"/>
      <c r="V149" s="195"/>
      <c r="W149" s="195"/>
      <c r="X149" s="195"/>
      <c r="Y149" s="195"/>
      <c r="Z149" s="195"/>
      <c r="AA149" s="195"/>
      <c r="AB149" s="195"/>
      <c r="AC149" s="195"/>
      <c r="AD149" s="195"/>
      <c r="AE149" s="195"/>
      <c r="AF149" s="195"/>
      <c r="AG149" s="195"/>
      <c r="AH149" s="195"/>
      <c r="AI149" s="195"/>
      <c r="AJ149" s="195"/>
      <c r="AK149" s="195"/>
      <c r="AL149" s="195"/>
      <c r="AM149" s="195"/>
    </row>
    <row r="150" customFormat="false" ht="13.5" hidden="false" customHeight="false" outlineLevel="0" collapsed="false">
      <c r="A150" s="191" t="str">
        <f aca="false">A59</f>
        <v>Ajuntament Andratx</v>
      </c>
      <c r="B150" s="191" t="str">
        <f aca="false">B59</f>
        <v>Administratiu</v>
      </c>
      <c r="C150" s="191" t="str">
        <f aca="false">C59</f>
        <v>si</v>
      </c>
      <c r="D150" s="191" t="n">
        <f aca="false">D59</f>
        <v>3636</v>
      </c>
      <c r="E150" s="191" t="n">
        <f aca="false">E59</f>
        <v>220</v>
      </c>
      <c r="F150" s="212" t="s">
        <v>86</v>
      </c>
      <c r="G150" s="212" t="s">
        <v>86</v>
      </c>
      <c r="H150" s="213" t="n">
        <f aca="false">H180*'0.DADES'!$E$67</f>
        <v>0</v>
      </c>
      <c r="I150" s="213" t="n">
        <f aca="false">I180*'0.DADES'!$E$67</f>
        <v>0</v>
      </c>
      <c r="J150" s="213" t="n">
        <f aca="false">J180*'0.DADES'!$E$67</f>
        <v>0</v>
      </c>
      <c r="K150" s="213" t="n">
        <f aca="false">K180*'0.DADES'!$E$67</f>
        <v>0</v>
      </c>
      <c r="L150" s="213" t="n">
        <f aca="false">L180*'0.DADES'!$E$67</f>
        <v>0</v>
      </c>
      <c r="M150" s="213" t="n">
        <f aca="false">M180*'0.DADES'!$E$67</f>
        <v>0</v>
      </c>
      <c r="N150" s="204"/>
      <c r="O150" s="204"/>
      <c r="P150" s="204"/>
      <c r="Q150" s="204"/>
      <c r="R150" s="204"/>
      <c r="S150" s="204"/>
      <c r="T150" s="195"/>
      <c r="U150" s="195"/>
      <c r="V150" s="195"/>
      <c r="W150" s="195"/>
      <c r="X150" s="195"/>
      <c r="Y150" s="195"/>
      <c r="Z150" s="195"/>
      <c r="AA150" s="195"/>
      <c r="AB150" s="195"/>
      <c r="AC150" s="195"/>
      <c r="AD150" s="195"/>
      <c r="AE150" s="195"/>
      <c r="AF150" s="195"/>
      <c r="AG150" s="195"/>
      <c r="AH150" s="195"/>
      <c r="AI150" s="195"/>
      <c r="AJ150" s="195"/>
      <c r="AK150" s="195"/>
      <c r="AL150" s="195"/>
      <c r="AM150" s="195"/>
    </row>
    <row r="151" customFormat="false" ht="13.5" hidden="false" customHeight="false" outlineLevel="0" collapsed="false">
      <c r="A151" s="191" t="str">
        <f aca="false">A60</f>
        <v>Poliesportiu municipal Es vinyet</v>
      </c>
      <c r="B151" s="191" t="str">
        <f aca="false">B60</f>
        <v>Esportiu sense piscina</v>
      </c>
      <c r="C151" s="191" t="n">
        <f aca="false">C60</f>
        <v>0</v>
      </c>
      <c r="D151" s="191" t="n">
        <f aca="false">D60</f>
        <v>0</v>
      </c>
      <c r="E151" s="191" t="n">
        <f aca="false">E60</f>
        <v>0</v>
      </c>
      <c r="F151" s="212" t="s">
        <v>86</v>
      </c>
      <c r="G151" s="212" t="s">
        <v>86</v>
      </c>
      <c r="H151" s="213" t="n">
        <f aca="false">H181*'0.DADES'!$E$67</f>
        <v>0</v>
      </c>
      <c r="I151" s="213" t="n">
        <f aca="false">I181*'0.DADES'!$E$67</f>
        <v>0</v>
      </c>
      <c r="J151" s="213" t="n">
        <f aca="false">J181*'0.DADES'!$E$67</f>
        <v>0</v>
      </c>
      <c r="K151" s="213" t="n">
        <f aca="false">K181*'0.DADES'!$E$67</f>
        <v>0</v>
      </c>
      <c r="L151" s="213" t="n">
        <f aca="false">L181*'0.DADES'!$E$67</f>
        <v>0</v>
      </c>
      <c r="M151" s="213" t="n">
        <f aca="false">M181*'0.DADES'!$E$67</f>
        <v>0</v>
      </c>
      <c r="N151" s="204"/>
      <c r="O151" s="204"/>
      <c r="P151" s="204"/>
      <c r="Q151" s="204"/>
      <c r="R151" s="204"/>
      <c r="S151" s="204"/>
    </row>
    <row r="152" customFormat="false" ht="13.5" hidden="false" customHeight="false" outlineLevel="0" collapsed="false">
      <c r="A152" s="191" t="str">
        <f aca="false">A61</f>
        <v>Camp municipal Sa Plana</v>
      </c>
      <c r="B152" s="191" t="str">
        <f aca="false">B61</f>
        <v>Esportiu sense piscina</v>
      </c>
      <c r="C152" s="191" t="str">
        <f aca="false">C61</f>
        <v>si</v>
      </c>
      <c r="D152" s="191" t="n">
        <f aca="false">D61</f>
        <v>7543</v>
      </c>
      <c r="E152" s="191" t="n">
        <f aca="false">E61</f>
        <v>50</v>
      </c>
      <c r="F152" s="212" t="s">
        <v>86</v>
      </c>
      <c r="G152" s="212" t="s">
        <v>86</v>
      </c>
      <c r="H152" s="213" t="n">
        <f aca="false">H182*'0.DADES'!$E$67</f>
        <v>0</v>
      </c>
      <c r="I152" s="213" t="n">
        <f aca="false">I182*'0.DADES'!$E$67</f>
        <v>0</v>
      </c>
      <c r="J152" s="213" t="n">
        <f aca="false">J182*'0.DADES'!$E$67</f>
        <v>0</v>
      </c>
      <c r="K152" s="213" t="n">
        <f aca="false">K182*'0.DADES'!$E$67</f>
        <v>0</v>
      </c>
      <c r="L152" s="213" t="n">
        <f aca="false">L182*'0.DADES'!$E$67</f>
        <v>0</v>
      </c>
      <c r="M152" s="213" t="n">
        <f aca="false">M182*'0.DADES'!$E$67</f>
        <v>0</v>
      </c>
      <c r="N152" s="204"/>
      <c r="O152" s="204"/>
      <c r="P152" s="204"/>
      <c r="Q152" s="204"/>
      <c r="R152" s="204"/>
      <c r="S152" s="204"/>
    </row>
    <row r="153" customFormat="false" ht="13.5" hidden="false" customHeight="false" outlineLevel="0" collapsed="false">
      <c r="A153" s="191" t="str">
        <f aca="false">A62</f>
        <v>Cementiri s'Arracó</v>
      </c>
      <c r="B153" s="191" t="str">
        <f aca="false">B62</f>
        <v>Sociocultural</v>
      </c>
      <c r="C153" s="191" t="n">
        <f aca="false">C62</f>
        <v>0</v>
      </c>
      <c r="D153" s="191" t="n">
        <f aca="false">D62</f>
        <v>0</v>
      </c>
      <c r="E153" s="191" t="n">
        <f aca="false">E62</f>
        <v>0</v>
      </c>
      <c r="F153" s="212" t="s">
        <v>86</v>
      </c>
      <c r="G153" s="212" t="s">
        <v>86</v>
      </c>
      <c r="H153" s="213" t="n">
        <f aca="false">H183*'0.DADES'!$E$67</f>
        <v>0</v>
      </c>
      <c r="I153" s="213" t="n">
        <f aca="false">I183*'0.DADES'!$E$67</f>
        <v>0</v>
      </c>
      <c r="J153" s="213" t="n">
        <f aca="false">J183*'0.DADES'!$E$67</f>
        <v>0</v>
      </c>
      <c r="K153" s="213" t="n">
        <f aca="false">K183*'0.DADES'!$E$67</f>
        <v>0</v>
      </c>
      <c r="L153" s="213" t="n">
        <f aca="false">L183*'0.DADES'!$E$67</f>
        <v>0</v>
      </c>
      <c r="M153" s="213" t="n">
        <f aca="false">M183*'0.DADES'!$E$67</f>
        <v>0</v>
      </c>
      <c r="N153" s="204"/>
      <c r="O153" s="204"/>
      <c r="P153" s="204"/>
      <c r="Q153" s="204"/>
      <c r="R153" s="204"/>
      <c r="S153" s="204"/>
      <c r="T153" s="184" t="s">
        <v>384</v>
      </c>
      <c r="U153" s="184" t="s">
        <v>384</v>
      </c>
      <c r="V153" s="184" t="s">
        <v>384</v>
      </c>
      <c r="W153" s="184" t="s">
        <v>384</v>
      </c>
      <c r="X153" s="184" t="s">
        <v>384</v>
      </c>
      <c r="Z153" s="184" t="s">
        <v>381</v>
      </c>
      <c r="AA153" s="184" t="s">
        <v>381</v>
      </c>
      <c r="AB153" s="184" t="s">
        <v>381</v>
      </c>
      <c r="AC153" s="184" t="s">
        <v>381</v>
      </c>
      <c r="AD153" s="184" t="s">
        <v>381</v>
      </c>
      <c r="AE153" s="215" t="s">
        <v>385</v>
      </c>
      <c r="AF153" s="215" t="s">
        <v>386</v>
      </c>
      <c r="AG153" s="215" t="s">
        <v>387</v>
      </c>
      <c r="AH153" s="215" t="s">
        <v>388</v>
      </c>
      <c r="AI153" s="215" t="s">
        <v>389</v>
      </c>
      <c r="AJ153" s="215" t="s">
        <v>390</v>
      </c>
    </row>
    <row r="154" customFormat="false" ht="13.5" hidden="false" customHeight="false" outlineLevel="0" collapsed="false">
      <c r="A154" s="191" t="str">
        <f aca="false">A63</f>
        <v>Col·legi</v>
      </c>
      <c r="B154" s="191" t="str">
        <f aca="false">B63</f>
        <v>Educatiu</v>
      </c>
      <c r="C154" s="191" t="n">
        <f aca="false">C63</f>
        <v>0</v>
      </c>
      <c r="D154" s="191" t="n">
        <f aca="false">D63</f>
        <v>0</v>
      </c>
      <c r="E154" s="191" t="n">
        <f aca="false">E63</f>
        <v>0</v>
      </c>
      <c r="F154" s="212" t="s">
        <v>86</v>
      </c>
      <c r="G154" s="212" t="s">
        <v>86</v>
      </c>
      <c r="H154" s="213" t="n">
        <f aca="false">H184*'0.DADES'!$E$67</f>
        <v>0</v>
      </c>
      <c r="I154" s="213" t="n">
        <f aca="false">I184*'0.DADES'!$E$67</f>
        <v>0</v>
      </c>
      <c r="J154" s="213" t="n">
        <f aca="false">J184*'0.DADES'!$E$67</f>
        <v>0</v>
      </c>
      <c r="K154" s="213" t="n">
        <f aca="false">K184*'0.DADES'!$E$67</f>
        <v>0</v>
      </c>
      <c r="L154" s="213" t="n">
        <f aca="false">L184*'0.DADES'!$E$67</f>
        <v>0</v>
      </c>
      <c r="M154" s="213" t="n">
        <f aca="false">M184*'0.DADES'!$E$67</f>
        <v>0</v>
      </c>
      <c r="N154" s="204"/>
      <c r="O154" s="204"/>
      <c r="P154" s="204"/>
      <c r="Q154" s="204"/>
      <c r="R154" s="204"/>
      <c r="S154" s="204"/>
    </row>
    <row r="155" customFormat="false" ht="13.5" hidden="false" customHeight="false" outlineLevel="0" collapsed="false">
      <c r="A155" s="191" t="str">
        <f aca="false">A64</f>
        <v>Palau d'esports</v>
      </c>
      <c r="B155" s="191" t="str">
        <f aca="false">B64</f>
        <v>Esportiu amb piscina</v>
      </c>
      <c r="C155" s="191" t="str">
        <f aca="false">C64</f>
        <v>si</v>
      </c>
      <c r="D155" s="191" t="n">
        <f aca="false">D64</f>
        <v>5676</v>
      </c>
      <c r="E155" s="191" t="n">
        <f aca="false">E64</f>
        <v>300</v>
      </c>
      <c r="F155" s="212" t="s">
        <v>86</v>
      </c>
      <c r="G155" s="212" t="s">
        <v>86</v>
      </c>
      <c r="H155" s="213" t="n">
        <f aca="false">H185*'0.DADES'!$E$67</f>
        <v>688697.2</v>
      </c>
      <c r="I155" s="213" t="n">
        <f aca="false">I185*'0.DADES'!$E$67</f>
        <v>688697.2</v>
      </c>
      <c r="J155" s="213" t="n">
        <f aca="false">J185*'0.DADES'!$E$67</f>
        <v>688697.2</v>
      </c>
      <c r="K155" s="213" t="n">
        <f aca="false">K185*'0.DADES'!$E$67</f>
        <v>688697.2</v>
      </c>
      <c r="L155" s="213" t="n">
        <f aca="false">L185*'0.DADES'!$E$67</f>
        <v>688697.2</v>
      </c>
      <c r="M155" s="213" t="n">
        <f aca="false">M185*'0.DADES'!$E$67</f>
        <v>688697.2</v>
      </c>
      <c r="N155" s="204" t="n">
        <v>66640</v>
      </c>
      <c r="O155" s="204" t="n">
        <v>66640</v>
      </c>
      <c r="P155" s="204" t="n">
        <v>66640</v>
      </c>
      <c r="Q155" s="204" t="n">
        <v>66640</v>
      </c>
      <c r="R155" s="204" t="n">
        <v>66640</v>
      </c>
      <c r="S155" s="204" t="n">
        <v>66640</v>
      </c>
      <c r="T155" s="176" t="n">
        <f aca="false">S155/M155</f>
        <v>0.096762408791556</v>
      </c>
    </row>
    <row r="156" customFormat="false" ht="13.5" hidden="false" customHeight="false" outlineLevel="0" collapsed="false">
      <c r="A156" s="191" t="str">
        <f aca="false">A65</f>
        <v>Escola de música</v>
      </c>
      <c r="B156" s="191" t="str">
        <f aca="false">B65</f>
        <v>Educatiu</v>
      </c>
      <c r="C156" s="191" t="n">
        <f aca="false">C65</f>
        <v>0</v>
      </c>
      <c r="D156" s="191" t="n">
        <f aca="false">D65</f>
        <v>469</v>
      </c>
      <c r="E156" s="191" t="n">
        <f aca="false">E65</f>
        <v>0</v>
      </c>
      <c r="F156" s="212" t="s">
        <v>86</v>
      </c>
      <c r="G156" s="212" t="s">
        <v>86</v>
      </c>
      <c r="H156" s="213" t="n">
        <f aca="false">H186*'0.DADES'!$E$67</f>
        <v>0</v>
      </c>
      <c r="I156" s="213" t="n">
        <f aca="false">I186*'0.DADES'!$E$67</f>
        <v>0</v>
      </c>
      <c r="J156" s="213" t="n">
        <f aca="false">J186*'0.DADES'!$E$67</f>
        <v>0</v>
      </c>
      <c r="K156" s="213" t="n">
        <f aca="false">K186*'0.DADES'!$E$67</f>
        <v>0</v>
      </c>
      <c r="L156" s="213" t="n">
        <f aca="false">L186*'0.DADES'!$E$67</f>
        <v>0</v>
      </c>
      <c r="M156" s="213" t="n">
        <f aca="false">M186*'0.DADES'!$E$67</f>
        <v>0</v>
      </c>
      <c r="N156" s="204"/>
      <c r="O156" s="204"/>
      <c r="P156" s="204"/>
      <c r="Q156" s="204"/>
      <c r="R156" s="204"/>
      <c r="S156" s="204"/>
    </row>
    <row r="157" customFormat="false" ht="13.5" hidden="false" customHeight="false" outlineLevel="0" collapsed="false">
      <c r="A157" s="191" t="str">
        <f aca="false">A66</f>
        <v>Cementeri municipal Andratx</v>
      </c>
      <c r="B157" s="191" t="str">
        <f aca="false">B66</f>
        <v>Sociocultural</v>
      </c>
      <c r="C157" s="191" t="n">
        <f aca="false">C66</f>
        <v>0</v>
      </c>
      <c r="D157" s="191" t="n">
        <f aca="false">D66</f>
        <v>2949</v>
      </c>
      <c r="E157" s="191" t="n">
        <f aca="false">E66</f>
        <v>0</v>
      </c>
      <c r="F157" s="212" t="s">
        <v>86</v>
      </c>
      <c r="G157" s="212" t="s">
        <v>86</v>
      </c>
      <c r="H157" s="213" t="n">
        <f aca="false">H187*'0.DADES'!$E$67</f>
        <v>0</v>
      </c>
      <c r="I157" s="213" t="n">
        <f aca="false">I187*'0.DADES'!$E$67</f>
        <v>0</v>
      </c>
      <c r="J157" s="213" t="n">
        <f aca="false">J187*'0.DADES'!$E$67</f>
        <v>0</v>
      </c>
      <c r="K157" s="213" t="n">
        <f aca="false">K187*'0.DADES'!$E$67</f>
        <v>0</v>
      </c>
      <c r="L157" s="213" t="n">
        <f aca="false">L187*'0.DADES'!$E$67</f>
        <v>0</v>
      </c>
      <c r="M157" s="213" t="n">
        <f aca="false">M187*'0.DADES'!$E$67</f>
        <v>0</v>
      </c>
      <c r="N157" s="204"/>
      <c r="O157" s="204"/>
      <c r="P157" s="204"/>
      <c r="Q157" s="204"/>
      <c r="R157" s="204"/>
      <c r="S157" s="204"/>
    </row>
    <row r="158" customFormat="false" ht="13.5" hidden="false" customHeight="false" outlineLevel="0" collapsed="false">
      <c r="A158" s="191" t="str">
        <f aca="false">A67</f>
        <v>Parc verd</v>
      </c>
      <c r="B158" s="191" t="str">
        <f aca="false">B67</f>
        <v>Sociocultural</v>
      </c>
      <c r="C158" s="191" t="n">
        <f aca="false">C67</f>
        <v>0</v>
      </c>
      <c r="D158" s="191" t="n">
        <f aca="false">D67</f>
        <v>444</v>
      </c>
      <c r="E158" s="191" t="n">
        <f aca="false">E67</f>
        <v>0</v>
      </c>
      <c r="F158" s="212" t="s">
        <v>86</v>
      </c>
      <c r="G158" s="212" t="s">
        <v>86</v>
      </c>
      <c r="H158" s="213" t="n">
        <f aca="false">H188*'0.DADES'!$E$67</f>
        <v>0</v>
      </c>
      <c r="I158" s="213" t="n">
        <f aca="false">I188*'0.DADES'!$E$67</f>
        <v>0</v>
      </c>
      <c r="J158" s="213" t="n">
        <f aca="false">J188*'0.DADES'!$E$67</f>
        <v>0</v>
      </c>
      <c r="K158" s="213" t="n">
        <f aca="false">K188*'0.DADES'!$E$67</f>
        <v>0</v>
      </c>
      <c r="L158" s="213" t="n">
        <f aca="false">L188*'0.DADES'!$E$67</f>
        <v>0</v>
      </c>
      <c r="M158" s="213" t="n">
        <f aca="false">M188*'0.DADES'!$E$67</f>
        <v>0</v>
      </c>
      <c r="N158" s="204"/>
      <c r="O158" s="204"/>
      <c r="P158" s="204"/>
      <c r="Q158" s="204"/>
      <c r="R158" s="204"/>
      <c r="S158" s="204"/>
    </row>
    <row r="159" customFormat="false" ht="13.5" hidden="false" customHeight="false" outlineLevel="0" collapsed="false">
      <c r="A159" s="191" t="str">
        <f aca="false">A68</f>
        <v>Biblioteca </v>
      </c>
      <c r="B159" s="191" t="str">
        <f aca="false">B68</f>
        <v>Sociocultural</v>
      </c>
      <c r="C159" s="191" t="str">
        <f aca="false">C68</f>
        <v>si</v>
      </c>
      <c r="D159" s="191" t="n">
        <f aca="false">D68</f>
        <v>683</v>
      </c>
      <c r="E159" s="191" t="n">
        <f aca="false">E68</f>
        <v>53</v>
      </c>
      <c r="F159" s="212" t="s">
        <v>86</v>
      </c>
      <c r="G159" s="212" t="s">
        <v>86</v>
      </c>
      <c r="H159" s="213" t="n">
        <f aca="false">H189*'0.DADES'!$E$67</f>
        <v>0</v>
      </c>
      <c r="I159" s="213" t="n">
        <f aca="false">I189*'0.DADES'!$E$67</f>
        <v>0</v>
      </c>
      <c r="J159" s="213" t="n">
        <f aca="false">J189*'0.DADES'!$E$67</f>
        <v>0</v>
      </c>
      <c r="K159" s="213" t="n">
        <f aca="false">K189*'0.DADES'!$E$67</f>
        <v>0</v>
      </c>
      <c r="L159" s="213" t="n">
        <f aca="false">L189*'0.DADES'!$E$67</f>
        <v>0</v>
      </c>
      <c r="M159" s="213" t="n">
        <f aca="false">M189*'0.DADES'!$E$67</f>
        <v>0</v>
      </c>
      <c r="N159" s="204"/>
      <c r="O159" s="204"/>
      <c r="P159" s="204"/>
      <c r="Q159" s="204"/>
      <c r="R159" s="204"/>
      <c r="S159" s="204"/>
    </row>
    <row r="160" customFormat="false" ht="13.5" hidden="false" customHeight="false" outlineLevel="0" collapsed="false">
      <c r="A160" s="191" t="str">
        <f aca="false">A69</f>
        <v>Local cultural</v>
      </c>
      <c r="B160" s="191" t="str">
        <f aca="false">B69</f>
        <v>Sociocultural</v>
      </c>
      <c r="C160" s="191" t="n">
        <f aca="false">C69</f>
        <v>0</v>
      </c>
      <c r="D160" s="191" t="n">
        <f aca="false">D69</f>
        <v>938</v>
      </c>
      <c r="E160" s="191" t="n">
        <f aca="false">E69</f>
        <v>0</v>
      </c>
      <c r="F160" s="212" t="s">
        <v>86</v>
      </c>
      <c r="G160" s="212" t="s">
        <v>86</v>
      </c>
      <c r="H160" s="213" t="n">
        <f aca="false">H190*'0.DADES'!$E$67</f>
        <v>0</v>
      </c>
      <c r="I160" s="213" t="n">
        <f aca="false">I190*'0.DADES'!$E$67</f>
        <v>0</v>
      </c>
      <c r="J160" s="213" t="n">
        <f aca="false">J190*'0.DADES'!$E$67</f>
        <v>0</v>
      </c>
      <c r="K160" s="213" t="n">
        <f aca="false">K190*'0.DADES'!$E$67</f>
        <v>0</v>
      </c>
      <c r="L160" s="213" t="n">
        <f aca="false">L190*'0.DADES'!$E$67</f>
        <v>0</v>
      </c>
      <c r="M160" s="213" t="n">
        <f aca="false">M190*'0.DADES'!$E$67</f>
        <v>0</v>
      </c>
      <c r="N160" s="204"/>
      <c r="O160" s="204"/>
      <c r="P160" s="204"/>
      <c r="Q160" s="204"/>
      <c r="R160" s="204"/>
      <c r="S160" s="204"/>
    </row>
    <row r="161" customFormat="false" ht="13.5" hidden="false" customHeight="false" outlineLevel="0" collapsed="false">
      <c r="A161" s="191" t="str">
        <f aca="false">A70</f>
        <v>Centre de dia</v>
      </c>
      <c r="B161" s="191" t="str">
        <f aca="false">B70</f>
        <v>Sociocultural</v>
      </c>
      <c r="C161" s="191" t="n">
        <f aca="false">C70</f>
        <v>0</v>
      </c>
      <c r="D161" s="191" t="n">
        <f aca="false">D70</f>
        <v>621</v>
      </c>
      <c r="E161" s="191" t="n">
        <f aca="false">E70</f>
        <v>0</v>
      </c>
      <c r="F161" s="212" t="s">
        <v>86</v>
      </c>
      <c r="G161" s="212" t="s">
        <v>86</v>
      </c>
      <c r="H161" s="213" t="n">
        <f aca="false">H191*'0.DADES'!$E$67</f>
        <v>0</v>
      </c>
      <c r="I161" s="213" t="n">
        <f aca="false">I191*'0.DADES'!$E$67</f>
        <v>0</v>
      </c>
      <c r="J161" s="213" t="n">
        <f aca="false">J191*'0.DADES'!$E$67</f>
        <v>0</v>
      </c>
      <c r="K161" s="213" t="n">
        <f aca="false">K191*'0.DADES'!$E$67</f>
        <v>0</v>
      </c>
      <c r="L161" s="213" t="n">
        <f aca="false">L191*'0.DADES'!$E$67</f>
        <v>0</v>
      </c>
      <c r="M161" s="213" t="n">
        <f aca="false">M191*'0.DADES'!$E$67</f>
        <v>0</v>
      </c>
      <c r="N161" s="204"/>
      <c r="O161" s="204"/>
      <c r="P161" s="204"/>
      <c r="Q161" s="204"/>
      <c r="R161" s="204"/>
      <c r="S161" s="204"/>
    </row>
    <row r="162" customFormat="false" ht="13.5" hidden="false" customHeight="false" outlineLevel="0" collapsed="false">
      <c r="A162" s="191" t="str">
        <f aca="false">A71</f>
        <v>Oficines</v>
      </c>
      <c r="B162" s="191" t="str">
        <f aca="false">B71</f>
        <v>Administratiu</v>
      </c>
      <c r="C162" s="191" t="n">
        <f aca="false">C71</f>
        <v>0</v>
      </c>
      <c r="D162" s="191" t="n">
        <f aca="false">D71</f>
        <v>368</v>
      </c>
      <c r="E162" s="191" t="n">
        <f aca="false">E71</f>
        <v>0</v>
      </c>
      <c r="F162" s="212" t="s">
        <v>86</v>
      </c>
      <c r="G162" s="212" t="s">
        <v>86</v>
      </c>
      <c r="H162" s="213" t="n">
        <f aca="false">H192*'0.DADES'!$E$67</f>
        <v>0</v>
      </c>
      <c r="I162" s="213" t="n">
        <f aca="false">I192*'0.DADES'!$E$67</f>
        <v>0</v>
      </c>
      <c r="J162" s="213" t="n">
        <f aca="false">J192*'0.DADES'!$E$67</f>
        <v>0</v>
      </c>
      <c r="K162" s="213" t="n">
        <f aca="false">K192*'0.DADES'!$E$67</f>
        <v>0</v>
      </c>
      <c r="L162" s="213" t="n">
        <f aca="false">L192*'0.DADES'!$E$67</f>
        <v>0</v>
      </c>
      <c r="M162" s="213" t="n">
        <f aca="false">M192*'0.DADES'!$E$67</f>
        <v>0</v>
      </c>
      <c r="N162" s="204"/>
      <c r="O162" s="204"/>
      <c r="P162" s="204"/>
      <c r="Q162" s="204"/>
      <c r="R162" s="204"/>
      <c r="S162" s="204"/>
    </row>
    <row r="163" customFormat="false" ht="13.5" hidden="false" customHeight="false" outlineLevel="0" collapsed="false">
      <c r="A163" s="191" t="str">
        <f aca="false">A72</f>
        <v>Cultural</v>
      </c>
      <c r="B163" s="191" t="str">
        <f aca="false">B72</f>
        <v>Sociocultural</v>
      </c>
      <c r="C163" s="191" t="n">
        <f aca="false">C72</f>
        <v>0</v>
      </c>
      <c r="D163" s="191" t="n">
        <f aca="false">D72</f>
        <v>512</v>
      </c>
      <c r="E163" s="191" t="n">
        <f aca="false">E72</f>
        <v>0</v>
      </c>
      <c r="F163" s="212" t="s">
        <v>86</v>
      </c>
      <c r="G163" s="212" t="s">
        <v>86</v>
      </c>
      <c r="H163" s="213" t="n">
        <f aca="false">H193*'0.DADES'!$E$67</f>
        <v>0</v>
      </c>
      <c r="I163" s="213" t="n">
        <f aca="false">I193*'0.DADES'!$E$67</f>
        <v>0</v>
      </c>
      <c r="J163" s="213" t="n">
        <f aca="false">J193*'0.DADES'!$E$67</f>
        <v>0</v>
      </c>
      <c r="K163" s="213" t="n">
        <f aca="false">K193*'0.DADES'!$E$67</f>
        <v>0</v>
      </c>
      <c r="L163" s="213" t="n">
        <f aca="false">L193*'0.DADES'!$E$67</f>
        <v>0</v>
      </c>
      <c r="M163" s="213" t="n">
        <f aca="false">M193*'0.DADES'!$E$67</f>
        <v>0</v>
      </c>
      <c r="N163" s="204"/>
      <c r="O163" s="204"/>
      <c r="P163" s="204"/>
      <c r="Q163" s="204"/>
      <c r="R163" s="204"/>
      <c r="S163" s="204"/>
    </row>
    <row r="164" customFormat="false" ht="13.5" hidden="false" customHeight="false" outlineLevel="0" collapsed="false">
      <c r="A164" s="191" t="str">
        <f aca="false">A73</f>
        <v>Teatre municipal</v>
      </c>
      <c r="B164" s="191" t="str">
        <f aca="false">B73</f>
        <v>Sociocultural</v>
      </c>
      <c r="C164" s="191" t="n">
        <f aca="false">C73</f>
        <v>0</v>
      </c>
      <c r="D164" s="191" t="n">
        <f aca="false">D73</f>
        <v>837</v>
      </c>
      <c r="E164" s="191" t="n">
        <f aca="false">E73</f>
        <v>0</v>
      </c>
      <c r="F164" s="212" t="s">
        <v>86</v>
      </c>
      <c r="G164" s="212" t="s">
        <v>86</v>
      </c>
      <c r="H164" s="213" t="n">
        <f aca="false">H194*'0.DADES'!$E$67</f>
        <v>0</v>
      </c>
      <c r="I164" s="213" t="n">
        <f aca="false">I194*'0.DADES'!$E$67</f>
        <v>0</v>
      </c>
      <c r="J164" s="213" t="n">
        <f aca="false">J194*'0.DADES'!$E$67</f>
        <v>0</v>
      </c>
      <c r="K164" s="213" t="n">
        <f aca="false">K194*'0.DADES'!$E$67</f>
        <v>0</v>
      </c>
      <c r="L164" s="213" t="n">
        <f aca="false">L194*'0.DADES'!$E$67</f>
        <v>0</v>
      </c>
      <c r="M164" s="213" t="n">
        <f aca="false">M194*'0.DADES'!$E$67</f>
        <v>0</v>
      </c>
      <c r="N164" s="204"/>
      <c r="O164" s="204"/>
      <c r="P164" s="204"/>
      <c r="Q164" s="204"/>
      <c r="R164" s="204"/>
      <c r="S164" s="204"/>
    </row>
    <row r="165" customFormat="false" ht="13.5" hidden="false" customHeight="false" outlineLevel="0" collapsed="false">
      <c r="A165" s="191" t="str">
        <f aca="false">A74</f>
        <v>Escoleta municipal</v>
      </c>
      <c r="B165" s="191" t="str">
        <f aca="false">B74</f>
        <v>Educatiu</v>
      </c>
      <c r="C165" s="191" t="n">
        <f aca="false">C74</f>
        <v>0</v>
      </c>
      <c r="D165" s="191" t="n">
        <f aca="false">D74</f>
        <v>2393</v>
      </c>
      <c r="E165" s="191" t="n">
        <f aca="false">E74</f>
        <v>0</v>
      </c>
      <c r="F165" s="212" t="s">
        <v>86</v>
      </c>
      <c r="G165" s="212" t="s">
        <v>86</v>
      </c>
      <c r="H165" s="213" t="n">
        <f aca="false">H195*'0.DADES'!$E$67</f>
        <v>0</v>
      </c>
      <c r="I165" s="213" t="n">
        <f aca="false">I195*'0.DADES'!$E$67</f>
        <v>0</v>
      </c>
      <c r="J165" s="213" t="n">
        <f aca="false">J195*'0.DADES'!$E$67</f>
        <v>0</v>
      </c>
      <c r="K165" s="213" t="n">
        <f aca="false">K195*'0.DADES'!$E$67</f>
        <v>0</v>
      </c>
      <c r="L165" s="213" t="n">
        <f aca="false">L195*'0.DADES'!$E$67</f>
        <v>0</v>
      </c>
      <c r="M165" s="213" t="n">
        <f aca="false">M195*'0.DADES'!$E$67</f>
        <v>0</v>
      </c>
      <c r="N165" s="204"/>
      <c r="O165" s="204"/>
      <c r="P165" s="204"/>
      <c r="Q165" s="204"/>
      <c r="R165" s="204"/>
      <c r="S165" s="204"/>
    </row>
    <row r="166" customFormat="false" ht="13.5" hidden="false" customHeight="false" outlineLevel="0" collapsed="false">
      <c r="A166" s="191" t="str">
        <f aca="false">A75</f>
        <v>Residencial</v>
      </c>
      <c r="B166" s="191" t="str">
        <f aca="false">B75</f>
        <v>Altres</v>
      </c>
      <c r="C166" s="191" t="n">
        <f aca="false">C75</f>
        <v>0</v>
      </c>
      <c r="D166" s="191" t="n">
        <f aca="false">D75</f>
        <v>144</v>
      </c>
      <c r="E166" s="191" t="n">
        <f aca="false">E75</f>
        <v>0</v>
      </c>
      <c r="F166" s="212" t="s">
        <v>86</v>
      </c>
      <c r="G166" s="212" t="s">
        <v>86</v>
      </c>
      <c r="H166" s="213" t="n">
        <f aca="false">H196*'0.DADES'!$E$67</f>
        <v>0</v>
      </c>
      <c r="I166" s="213" t="n">
        <f aca="false">I196*'0.DADES'!$E$67</f>
        <v>0</v>
      </c>
      <c r="J166" s="213" t="n">
        <f aca="false">J196*'0.DADES'!$E$67</f>
        <v>0</v>
      </c>
      <c r="K166" s="213" t="n">
        <f aca="false">K196*'0.DADES'!$E$67</f>
        <v>0</v>
      </c>
      <c r="L166" s="213" t="n">
        <f aca="false">L196*'0.DADES'!$E$67</f>
        <v>0</v>
      </c>
      <c r="M166" s="213" t="n">
        <f aca="false">M196*'0.DADES'!$E$67</f>
        <v>0</v>
      </c>
      <c r="N166" s="204"/>
      <c r="O166" s="204"/>
      <c r="P166" s="204"/>
      <c r="Q166" s="204"/>
      <c r="R166" s="204"/>
      <c r="S166" s="204"/>
    </row>
    <row r="167" customFormat="false" ht="13.5" hidden="false" customHeight="false" outlineLevel="0" collapsed="false">
      <c r="A167" s="191" t="str">
        <f aca="false">A76</f>
        <v>Camp municipal s'Arracó</v>
      </c>
      <c r="B167" s="191" t="str">
        <f aca="false">B76</f>
        <v>Esportiu amb piscina</v>
      </c>
      <c r="C167" s="191" t="str">
        <f aca="false">C76</f>
        <v>si</v>
      </c>
      <c r="D167" s="191" t="n">
        <f aca="false">D76</f>
        <v>5488</v>
      </c>
      <c r="E167" s="191" t="n">
        <f aca="false">E76</f>
        <v>50</v>
      </c>
      <c r="F167" s="212" t="s">
        <v>86</v>
      </c>
      <c r="G167" s="212" t="s">
        <v>86</v>
      </c>
      <c r="H167" s="213" t="n">
        <f aca="false">H197*'0.DADES'!$E$67</f>
        <v>0</v>
      </c>
      <c r="I167" s="213" t="n">
        <f aca="false">I197*'0.DADES'!$E$67</f>
        <v>0</v>
      </c>
      <c r="J167" s="213" t="n">
        <f aca="false">J197*'0.DADES'!$E$67</f>
        <v>0</v>
      </c>
      <c r="K167" s="213" t="n">
        <f aca="false">K197*'0.DADES'!$E$67</f>
        <v>0</v>
      </c>
      <c r="L167" s="213" t="n">
        <f aca="false">L197*'0.DADES'!$E$67</f>
        <v>0</v>
      </c>
      <c r="M167" s="213" t="n">
        <f aca="false">M197*'0.DADES'!$E$67</f>
        <v>0</v>
      </c>
      <c r="N167" s="204"/>
      <c r="O167" s="204"/>
      <c r="P167" s="204"/>
      <c r="Q167" s="204"/>
      <c r="R167" s="204"/>
      <c r="S167" s="204"/>
    </row>
    <row r="168" customFormat="false" ht="13.5" hidden="false" customHeight="false" outlineLevel="0" collapsed="false">
      <c r="A168" s="191" t="str">
        <f aca="false">A77</f>
        <v>local comercial</v>
      </c>
      <c r="B168" s="191" t="str">
        <f aca="false">B77</f>
        <v>Altres</v>
      </c>
      <c r="C168" s="191" t="n">
        <f aca="false">C77</f>
        <v>0</v>
      </c>
      <c r="D168" s="191" t="n">
        <f aca="false">D77</f>
        <v>53</v>
      </c>
      <c r="E168" s="191" t="n">
        <f aca="false">E77</f>
        <v>0</v>
      </c>
      <c r="F168" s="212" t="s">
        <v>86</v>
      </c>
      <c r="G168" s="212" t="s">
        <v>86</v>
      </c>
      <c r="H168" s="213" t="n">
        <f aca="false">H198*'0.DADES'!$E$67</f>
        <v>0</v>
      </c>
      <c r="I168" s="213" t="n">
        <f aca="false">I198*'0.DADES'!$E$67</f>
        <v>0</v>
      </c>
      <c r="J168" s="213" t="n">
        <f aca="false">J198*'0.DADES'!$E$67</f>
        <v>0</v>
      </c>
      <c r="K168" s="213" t="n">
        <f aca="false">K198*'0.DADES'!$E$67</f>
        <v>0</v>
      </c>
      <c r="L168" s="213" t="n">
        <f aca="false">L198*'0.DADES'!$E$67</f>
        <v>0</v>
      </c>
      <c r="M168" s="213" t="n">
        <f aca="false">M198*'0.DADES'!$E$67</f>
        <v>0</v>
      </c>
      <c r="N168" s="204"/>
      <c r="O168" s="204"/>
      <c r="P168" s="204"/>
      <c r="Q168" s="204"/>
      <c r="R168" s="204"/>
      <c r="S168" s="204"/>
    </row>
    <row r="169" customFormat="false" ht="13.5" hidden="false" customHeight="false" outlineLevel="0" collapsed="false">
      <c r="A169" s="191" t="str">
        <f aca="false">A78</f>
        <v>Casa cultural i assistencial</v>
      </c>
      <c r="B169" s="191" t="str">
        <f aca="false">B78</f>
        <v>Sociocultural</v>
      </c>
      <c r="C169" s="191" t="n">
        <f aca="false">C78</f>
        <v>0</v>
      </c>
      <c r="D169" s="191" t="n">
        <f aca="false">D78</f>
        <v>348</v>
      </c>
      <c r="E169" s="191" t="n">
        <f aca="false">E78</f>
        <v>0</v>
      </c>
      <c r="F169" s="212" t="s">
        <v>86</v>
      </c>
      <c r="G169" s="212" t="s">
        <v>86</v>
      </c>
      <c r="H169" s="213" t="n">
        <f aca="false">H199*'0.DADES'!$E$67</f>
        <v>0</v>
      </c>
      <c r="I169" s="213" t="n">
        <f aca="false">I199*'0.DADES'!$E$67</f>
        <v>0</v>
      </c>
      <c r="J169" s="213" t="n">
        <f aca="false">J199*'0.DADES'!$E$67</f>
        <v>0</v>
      </c>
      <c r="K169" s="213" t="n">
        <f aca="false">K199*'0.DADES'!$E$67</f>
        <v>0</v>
      </c>
      <c r="L169" s="213" t="n">
        <f aca="false">L199*'0.DADES'!$E$67</f>
        <v>0</v>
      </c>
      <c r="M169" s="213" t="n">
        <f aca="false">M199*'0.DADES'!$E$67</f>
        <v>0</v>
      </c>
      <c r="N169" s="204"/>
      <c r="O169" s="204"/>
      <c r="P169" s="204"/>
      <c r="Q169" s="204"/>
      <c r="R169" s="204"/>
      <c r="S169" s="204"/>
    </row>
    <row r="170" customFormat="false" ht="13.5" hidden="false" customHeight="false" outlineLevel="0" collapsed="false">
      <c r="A170" s="191" t="str">
        <f aca="false">A79</f>
        <v>Centre de salut</v>
      </c>
      <c r="B170" s="191" t="str">
        <f aca="false">B79</f>
        <v>Sociocultural</v>
      </c>
      <c r="C170" s="191" t="n">
        <f aca="false">C79</f>
        <v>0</v>
      </c>
      <c r="D170" s="191" t="n">
        <f aca="false">D79</f>
        <v>727</v>
      </c>
      <c r="E170" s="191" t="n">
        <f aca="false">E79</f>
        <v>0</v>
      </c>
      <c r="F170" s="212" t="s">
        <v>86</v>
      </c>
      <c r="G170" s="212" t="s">
        <v>86</v>
      </c>
      <c r="H170" s="213" t="n">
        <f aca="false">H200*'0.DADES'!$E$67</f>
        <v>0</v>
      </c>
      <c r="I170" s="213" t="n">
        <f aca="false">I200*'0.DADES'!$E$67</f>
        <v>0</v>
      </c>
      <c r="J170" s="213" t="n">
        <f aca="false">J200*'0.DADES'!$E$67</f>
        <v>0</v>
      </c>
      <c r="K170" s="213" t="n">
        <f aca="false">K200*'0.DADES'!$E$67</f>
        <v>0</v>
      </c>
      <c r="L170" s="213" t="n">
        <f aca="false">L200*'0.DADES'!$E$67</f>
        <v>0</v>
      </c>
      <c r="M170" s="213" t="n">
        <f aca="false">M200*'0.DADES'!$E$67</f>
        <v>0</v>
      </c>
      <c r="N170" s="204"/>
      <c r="O170" s="204"/>
      <c r="P170" s="204"/>
      <c r="Q170" s="204"/>
      <c r="R170" s="204"/>
      <c r="S170" s="204"/>
    </row>
    <row r="171" customFormat="false" ht="13.5" hidden="false" customHeight="false" outlineLevel="0" collapsed="false">
      <c r="A171" s="191" t="str">
        <f aca="false">A80</f>
        <v>Institut Baltasar Porcel</v>
      </c>
      <c r="B171" s="191" t="str">
        <f aca="false">B80</f>
        <v>Educatiu</v>
      </c>
      <c r="C171" s="191" t="n">
        <f aca="false">C80</f>
        <v>0</v>
      </c>
      <c r="D171" s="191" t="n">
        <f aca="false">D80</f>
        <v>5361</v>
      </c>
      <c r="E171" s="191" t="n">
        <f aca="false">E80</f>
        <v>0</v>
      </c>
      <c r="F171" s="212" t="s">
        <v>86</v>
      </c>
      <c r="G171" s="212" t="s">
        <v>86</v>
      </c>
      <c r="H171" s="213" t="n">
        <f aca="false">H201*'0.DADES'!$E$67</f>
        <v>0</v>
      </c>
      <c r="I171" s="213" t="n">
        <f aca="false">I201*'0.DADES'!$E$67</f>
        <v>0</v>
      </c>
      <c r="J171" s="213" t="n">
        <f aca="false">J201*'0.DADES'!$E$67</f>
        <v>0</v>
      </c>
      <c r="K171" s="213" t="n">
        <f aca="false">K201*'0.DADES'!$E$67</f>
        <v>0</v>
      </c>
      <c r="L171" s="213" t="n">
        <f aca="false">L201*'0.DADES'!$E$67</f>
        <v>0</v>
      </c>
      <c r="M171" s="213" t="n">
        <f aca="false">M201*'0.DADES'!$E$67</f>
        <v>0</v>
      </c>
      <c r="N171" s="204"/>
      <c r="O171" s="204"/>
      <c r="P171" s="204"/>
      <c r="Q171" s="204"/>
      <c r="R171" s="204"/>
      <c r="S171" s="204"/>
    </row>
    <row r="172" customFormat="false" ht="13.5" hidden="false" customHeight="false" outlineLevel="0" collapsed="false">
      <c r="A172" s="191" t="str">
        <f aca="false">A81</f>
        <v>Escola Ses Bassetes</v>
      </c>
      <c r="B172" s="191" t="str">
        <f aca="false">B81</f>
        <v>Educatiu</v>
      </c>
      <c r="C172" s="191" t="n">
        <f aca="false">C81</f>
        <v>0</v>
      </c>
      <c r="D172" s="191" t="n">
        <f aca="false">D81</f>
        <v>238</v>
      </c>
      <c r="E172" s="191" t="n">
        <f aca="false">E81</f>
        <v>0</v>
      </c>
      <c r="F172" s="212" t="s">
        <v>86</v>
      </c>
      <c r="G172" s="212" t="s">
        <v>86</v>
      </c>
      <c r="H172" s="213" t="n">
        <f aca="false">H202*'0.DADES'!$E$67</f>
        <v>0</v>
      </c>
      <c r="I172" s="213" t="n">
        <f aca="false">I202*'0.DADES'!$E$67</f>
        <v>0</v>
      </c>
      <c r="J172" s="213" t="n">
        <f aca="false">J202*'0.DADES'!$E$67</f>
        <v>0</v>
      </c>
      <c r="K172" s="213" t="n">
        <f aca="false">K202*'0.DADES'!$E$67</f>
        <v>0</v>
      </c>
      <c r="L172" s="213" t="n">
        <f aca="false">L202*'0.DADES'!$E$67</f>
        <v>0</v>
      </c>
      <c r="M172" s="213" t="n">
        <f aca="false">M202*'0.DADES'!$E$67</f>
        <v>0</v>
      </c>
      <c r="N172" s="204"/>
      <c r="O172" s="204"/>
      <c r="P172" s="204"/>
      <c r="Q172" s="204"/>
      <c r="R172" s="204"/>
      <c r="S172" s="204"/>
    </row>
    <row r="173" customFormat="false" ht="13.5" hidden="false" customHeight="false" outlineLevel="0" collapsed="false">
      <c r="A173" s="191" t="str">
        <f aca="false">A82</f>
        <v>Escola Ses Bassetes</v>
      </c>
      <c r="B173" s="191" t="str">
        <f aca="false">B82</f>
        <v>Educatiu</v>
      </c>
      <c r="C173" s="191" t="n">
        <f aca="false">C82</f>
        <v>0</v>
      </c>
      <c r="D173" s="191" t="n">
        <f aca="false">D82</f>
        <v>238</v>
      </c>
      <c r="E173" s="191" t="n">
        <f aca="false">E82</f>
        <v>0</v>
      </c>
      <c r="F173" s="212" t="s">
        <v>86</v>
      </c>
      <c r="G173" s="212" t="s">
        <v>86</v>
      </c>
      <c r="H173" s="213" t="n">
        <f aca="false">H203*'0.DADES'!$E$67</f>
        <v>0</v>
      </c>
      <c r="I173" s="213" t="n">
        <f aca="false">I203*'0.DADES'!$E$67</f>
        <v>0</v>
      </c>
      <c r="J173" s="213" t="n">
        <f aca="false">J203*'0.DADES'!$E$67</f>
        <v>0</v>
      </c>
      <c r="K173" s="213" t="n">
        <f aca="false">K203*'0.DADES'!$E$67</f>
        <v>0</v>
      </c>
      <c r="L173" s="213" t="n">
        <f aca="false">L203*'0.DADES'!$E$67</f>
        <v>0</v>
      </c>
      <c r="M173" s="213" t="n">
        <f aca="false">M203*'0.DADES'!$E$67</f>
        <v>0</v>
      </c>
      <c r="N173" s="204"/>
      <c r="O173" s="204"/>
      <c r="P173" s="204"/>
      <c r="Q173" s="204"/>
      <c r="R173" s="204"/>
      <c r="S173" s="204"/>
    </row>
    <row r="174" customFormat="false" ht="13.5" hidden="false" customHeight="false" outlineLevel="0" collapsed="false">
      <c r="A174" s="191" t="str">
        <f aca="false">A83</f>
        <v>Local gent gran</v>
      </c>
      <c r="B174" s="191" t="str">
        <f aca="false">B83</f>
        <v>Sociocultural</v>
      </c>
      <c r="C174" s="191" t="n">
        <f aca="false">C83</f>
        <v>0</v>
      </c>
      <c r="D174" s="191" t="n">
        <f aca="false">D83</f>
        <v>936</v>
      </c>
      <c r="E174" s="191" t="n">
        <f aca="false">E83</f>
        <v>0</v>
      </c>
      <c r="F174" s="212" t="s">
        <v>86</v>
      </c>
      <c r="G174" s="212" t="s">
        <v>86</v>
      </c>
      <c r="H174" s="213" t="n">
        <f aca="false">H204*'0.DADES'!$E$67</f>
        <v>0</v>
      </c>
      <c r="I174" s="213" t="n">
        <f aca="false">I204*'0.DADES'!$E$67</f>
        <v>0</v>
      </c>
      <c r="J174" s="213" t="n">
        <f aca="false">J204*'0.DADES'!$E$67</f>
        <v>0</v>
      </c>
      <c r="K174" s="213" t="n">
        <f aca="false">K204*'0.DADES'!$E$67</f>
        <v>0</v>
      </c>
      <c r="L174" s="213" t="n">
        <f aca="false">L204*'0.DADES'!$E$67</f>
        <v>0</v>
      </c>
      <c r="M174" s="213" t="n">
        <f aca="false">M204*'0.DADES'!$E$67</f>
        <v>0</v>
      </c>
      <c r="N174" s="204"/>
      <c r="O174" s="204"/>
      <c r="P174" s="204"/>
      <c r="Q174" s="204"/>
      <c r="R174" s="204"/>
      <c r="S174" s="204"/>
    </row>
    <row r="175" customFormat="false" ht="13.5" hidden="false" customHeight="false" outlineLevel="0" collapsed="false">
      <c r="A175" s="191" t="n">
        <f aca="false">A84</f>
        <v>0</v>
      </c>
      <c r="B175" s="191" t="n">
        <f aca="false">B84</f>
        <v>0</v>
      </c>
      <c r="C175" s="191" t="n">
        <f aca="false">C84</f>
        <v>0</v>
      </c>
      <c r="D175" s="191" t="n">
        <f aca="false">D84</f>
        <v>0</v>
      </c>
      <c r="E175" s="191" t="n">
        <f aca="false">E84</f>
        <v>0</v>
      </c>
      <c r="F175" s="212" t="s">
        <v>86</v>
      </c>
      <c r="G175" s="212" t="s">
        <v>86</v>
      </c>
      <c r="H175" s="213" t="n">
        <f aca="false">H205*'0.DADES'!$E$67</f>
        <v>0</v>
      </c>
      <c r="I175" s="213" t="n">
        <f aca="false">I205*'0.DADES'!$E$67</f>
        <v>0</v>
      </c>
      <c r="J175" s="213" t="n">
        <f aca="false">J205*'0.DADES'!$E$67</f>
        <v>0</v>
      </c>
      <c r="K175" s="213" t="n">
        <f aca="false">K205*'0.DADES'!$E$67</f>
        <v>0</v>
      </c>
      <c r="L175" s="213" t="n">
        <f aca="false">L205*'0.DADES'!$E$67</f>
        <v>0</v>
      </c>
      <c r="M175" s="213" t="n">
        <f aca="false">M205*'0.DADES'!$E$67</f>
        <v>0</v>
      </c>
      <c r="N175" s="204"/>
      <c r="O175" s="204"/>
      <c r="P175" s="204"/>
      <c r="Q175" s="204"/>
      <c r="R175" s="204"/>
      <c r="S175" s="204"/>
    </row>
    <row r="176" customFormat="false" ht="13.5" hidden="false" customHeight="false" outlineLevel="0" collapsed="false">
      <c r="F176" s="209" t="s">
        <v>272</v>
      </c>
      <c r="G176" s="209"/>
      <c r="H176" s="214" t="n">
        <f aca="false">SUM(H150:H175)</f>
        <v>688697.2</v>
      </c>
      <c r="I176" s="214" t="n">
        <f aca="false">SUM(I150:I175)</f>
        <v>688697.2</v>
      </c>
      <c r="J176" s="214" t="n">
        <f aca="false">SUM(J150:J175)</f>
        <v>688697.2</v>
      </c>
      <c r="K176" s="214" t="n">
        <f aca="false">SUM(K150:K175)</f>
        <v>688697.2</v>
      </c>
      <c r="L176" s="214" t="n">
        <f aca="false">SUM(L150:L175)</f>
        <v>688697.2</v>
      </c>
      <c r="M176" s="214" t="n">
        <f aca="false">SUM(M150:M175)</f>
        <v>688697.2</v>
      </c>
      <c r="N176" s="192" t="n">
        <f aca="false">SUM(N150:N175)</f>
        <v>66640</v>
      </c>
      <c r="O176" s="192" t="n">
        <f aca="false">SUM(O150:O175)</f>
        <v>66640</v>
      </c>
      <c r="P176" s="192" t="n">
        <f aca="false">SUM(P150:P175)</f>
        <v>66640</v>
      </c>
      <c r="Q176" s="192" t="n">
        <f aca="false">SUM(Q150:Q175)</f>
        <v>66640</v>
      </c>
      <c r="R176" s="192" t="n">
        <f aca="false">SUM(R150:R175)</f>
        <v>66640</v>
      </c>
      <c r="S176" s="192" t="n">
        <f aca="false">SUM(S150:S175)</f>
        <v>66640</v>
      </c>
    </row>
    <row r="178" customFormat="false" ht="13.5" hidden="false" customHeight="false" outlineLevel="0" collapsed="false">
      <c r="H178" s="182" t="s">
        <v>391</v>
      </c>
      <c r="I178" s="182"/>
      <c r="J178" s="182"/>
      <c r="K178" s="182"/>
      <c r="L178" s="182"/>
      <c r="M178" s="182"/>
    </row>
    <row r="179" customFormat="false" ht="13.5" hidden="false" customHeight="false" outlineLevel="0" collapsed="false">
      <c r="A179" s="182" t="s">
        <v>315</v>
      </c>
      <c r="B179" s="182" t="s">
        <v>324</v>
      </c>
      <c r="C179" s="182" t="s">
        <v>325</v>
      </c>
      <c r="D179" s="182" t="s">
        <v>326</v>
      </c>
      <c r="E179" s="182" t="s">
        <v>327</v>
      </c>
      <c r="F179" s="182" t="s">
        <v>328</v>
      </c>
      <c r="G179" s="182" t="s">
        <v>329</v>
      </c>
      <c r="H179" s="182" t="n">
        <f aca="false">H149</f>
        <v>2005</v>
      </c>
      <c r="I179" s="182" t="n">
        <f aca="false">I149</f>
        <v>2006</v>
      </c>
      <c r="J179" s="182" t="n">
        <f aca="false">J149</f>
        <v>2007</v>
      </c>
      <c r="K179" s="182" t="n">
        <f aca="false">K149</f>
        <v>2008</v>
      </c>
      <c r="L179" s="182" t="n">
        <f aca="false">L149</f>
        <v>2009</v>
      </c>
      <c r="M179" s="182" t="n">
        <f aca="false">M149</f>
        <v>2010</v>
      </c>
    </row>
    <row r="180" customFormat="false" ht="13.5" hidden="false" customHeight="false" outlineLevel="0" collapsed="false">
      <c r="A180" s="191" t="str">
        <f aca="false">A59</f>
        <v>Ajuntament Andratx</v>
      </c>
      <c r="B180" s="191" t="str">
        <f aca="false">B59</f>
        <v>Administratiu</v>
      </c>
      <c r="C180" s="191" t="str">
        <f aca="false">C59</f>
        <v>si</v>
      </c>
      <c r="D180" s="191" t="n">
        <f aca="false">D59</f>
        <v>3636</v>
      </c>
      <c r="E180" s="191" t="n">
        <f aca="false">E59</f>
        <v>220</v>
      </c>
      <c r="F180" s="212" t="s">
        <v>86</v>
      </c>
      <c r="G180" s="212" t="s">
        <v>86</v>
      </c>
      <c r="H180" s="204"/>
      <c r="I180" s="204"/>
      <c r="J180" s="204"/>
      <c r="K180" s="204"/>
      <c r="L180" s="204"/>
      <c r="M180" s="204"/>
    </row>
    <row r="181" customFormat="false" ht="13.5" hidden="false" customHeight="false" outlineLevel="0" collapsed="false">
      <c r="A181" s="191" t="str">
        <f aca="false">A60</f>
        <v>Poliesportiu municipal Es vinyet</v>
      </c>
      <c r="B181" s="191" t="str">
        <f aca="false">B60</f>
        <v>Esportiu sense piscina</v>
      </c>
      <c r="C181" s="191" t="n">
        <f aca="false">C60</f>
        <v>0</v>
      </c>
      <c r="D181" s="191" t="n">
        <f aca="false">D60</f>
        <v>0</v>
      </c>
      <c r="E181" s="191" t="n">
        <f aca="false">E60</f>
        <v>0</v>
      </c>
      <c r="F181" s="212" t="s">
        <v>86</v>
      </c>
      <c r="G181" s="212" t="s">
        <v>86</v>
      </c>
      <c r="H181" s="204"/>
      <c r="I181" s="204"/>
      <c r="J181" s="204"/>
      <c r="K181" s="204"/>
      <c r="L181" s="204"/>
      <c r="M181" s="204"/>
    </row>
    <row r="182" customFormat="false" ht="13.5" hidden="false" customHeight="false" outlineLevel="0" collapsed="false">
      <c r="A182" s="191" t="str">
        <f aca="false">A61</f>
        <v>Camp municipal Sa Plana</v>
      </c>
      <c r="B182" s="191" t="str">
        <f aca="false">B61</f>
        <v>Esportiu sense piscina</v>
      </c>
      <c r="C182" s="191" t="str">
        <f aca="false">C61</f>
        <v>si</v>
      </c>
      <c r="D182" s="191" t="n">
        <f aca="false">D61</f>
        <v>7543</v>
      </c>
      <c r="E182" s="191" t="n">
        <f aca="false">E61</f>
        <v>50</v>
      </c>
      <c r="F182" s="212" t="s">
        <v>86</v>
      </c>
      <c r="G182" s="212" t="s">
        <v>86</v>
      </c>
      <c r="H182" s="204"/>
      <c r="I182" s="204"/>
      <c r="J182" s="204"/>
      <c r="K182" s="204"/>
      <c r="L182" s="204"/>
      <c r="M182" s="204"/>
    </row>
    <row r="183" customFormat="false" ht="13.5" hidden="false" customHeight="false" outlineLevel="0" collapsed="false">
      <c r="A183" s="191" t="str">
        <f aca="false">A62</f>
        <v>Cementiri s'Arracó</v>
      </c>
      <c r="B183" s="191" t="str">
        <f aca="false">B62</f>
        <v>Sociocultural</v>
      </c>
      <c r="C183" s="191" t="n">
        <f aca="false">C62</f>
        <v>0</v>
      </c>
      <c r="D183" s="191" t="n">
        <f aca="false">D62</f>
        <v>0</v>
      </c>
      <c r="E183" s="191" t="n">
        <f aca="false">E62</f>
        <v>0</v>
      </c>
      <c r="F183" s="212" t="s">
        <v>86</v>
      </c>
      <c r="G183" s="212" t="s">
        <v>86</v>
      </c>
      <c r="H183" s="204"/>
      <c r="I183" s="204"/>
      <c r="J183" s="204"/>
      <c r="K183" s="204"/>
      <c r="L183" s="204"/>
      <c r="M183" s="204"/>
    </row>
    <row r="184" customFormat="false" ht="13.5" hidden="false" customHeight="false" outlineLevel="0" collapsed="false">
      <c r="A184" s="191" t="str">
        <f aca="false">A63</f>
        <v>Col·legi</v>
      </c>
      <c r="B184" s="191" t="str">
        <f aca="false">B63</f>
        <v>Educatiu</v>
      </c>
      <c r="C184" s="191" t="n">
        <f aca="false">C63</f>
        <v>0</v>
      </c>
      <c r="D184" s="191" t="n">
        <f aca="false">D63</f>
        <v>0</v>
      </c>
      <c r="E184" s="191" t="n">
        <f aca="false">E63</f>
        <v>0</v>
      </c>
      <c r="F184" s="212" t="s">
        <v>86</v>
      </c>
      <c r="G184" s="212" t="s">
        <v>86</v>
      </c>
      <c r="H184" s="204"/>
      <c r="I184" s="204"/>
      <c r="J184" s="204"/>
      <c r="K184" s="204"/>
      <c r="L184" s="204"/>
      <c r="M184" s="204"/>
    </row>
    <row r="185" customFormat="false" ht="13.5" hidden="false" customHeight="false" outlineLevel="0" collapsed="false">
      <c r="A185" s="191" t="str">
        <f aca="false">A64</f>
        <v>Palau d'esports</v>
      </c>
      <c r="B185" s="191" t="str">
        <f aca="false">B64</f>
        <v>Esportiu amb piscina</v>
      </c>
      <c r="C185" s="191" t="str">
        <f aca="false">C64</f>
        <v>si</v>
      </c>
      <c r="D185" s="191" t="n">
        <f aca="false">D64</f>
        <v>5676</v>
      </c>
      <c r="E185" s="191" t="n">
        <f aca="false">E64</f>
        <v>300</v>
      </c>
      <c r="F185" s="212" t="s">
        <v>86</v>
      </c>
      <c r="G185" s="212" t="s">
        <v>86</v>
      </c>
      <c r="H185" s="204" t="n">
        <v>68000</v>
      </c>
      <c r="I185" s="204" t="n">
        <v>68000</v>
      </c>
      <c r="J185" s="204" t="n">
        <v>68000</v>
      </c>
      <c r="K185" s="204" t="n">
        <v>68000</v>
      </c>
      <c r="L185" s="204" t="n">
        <v>68000</v>
      </c>
      <c r="M185" s="204" t="n">
        <v>68000</v>
      </c>
    </row>
    <row r="186" customFormat="false" ht="13.5" hidden="false" customHeight="false" outlineLevel="0" collapsed="false">
      <c r="A186" s="191" t="str">
        <f aca="false">A65</f>
        <v>Escola de música</v>
      </c>
      <c r="B186" s="191" t="str">
        <f aca="false">B65</f>
        <v>Educatiu</v>
      </c>
      <c r="C186" s="191" t="n">
        <f aca="false">C65</f>
        <v>0</v>
      </c>
      <c r="D186" s="191" t="n">
        <f aca="false">D65</f>
        <v>469</v>
      </c>
      <c r="E186" s="191" t="n">
        <f aca="false">E65</f>
        <v>0</v>
      </c>
      <c r="F186" s="212" t="s">
        <v>86</v>
      </c>
      <c r="G186" s="212" t="s">
        <v>86</v>
      </c>
      <c r="H186" s="204"/>
      <c r="I186" s="204"/>
      <c r="J186" s="204"/>
      <c r="K186" s="204"/>
      <c r="L186" s="204"/>
      <c r="M186" s="204"/>
    </row>
    <row r="187" customFormat="false" ht="13.5" hidden="false" customHeight="false" outlineLevel="0" collapsed="false">
      <c r="A187" s="191" t="str">
        <f aca="false">A66</f>
        <v>Cementeri municipal Andratx</v>
      </c>
      <c r="B187" s="191" t="str">
        <f aca="false">B66</f>
        <v>Sociocultural</v>
      </c>
      <c r="C187" s="191" t="n">
        <f aca="false">C66</f>
        <v>0</v>
      </c>
      <c r="D187" s="191" t="n">
        <f aca="false">D66</f>
        <v>2949</v>
      </c>
      <c r="E187" s="191" t="n">
        <f aca="false">E66</f>
        <v>0</v>
      </c>
      <c r="F187" s="212" t="s">
        <v>86</v>
      </c>
      <c r="G187" s="212" t="s">
        <v>86</v>
      </c>
      <c r="H187" s="204"/>
      <c r="I187" s="204"/>
      <c r="J187" s="204"/>
      <c r="K187" s="204"/>
      <c r="L187" s="204"/>
      <c r="M187" s="204"/>
    </row>
    <row r="188" customFormat="false" ht="13.5" hidden="false" customHeight="false" outlineLevel="0" collapsed="false">
      <c r="A188" s="191" t="str">
        <f aca="false">A67</f>
        <v>Parc verd</v>
      </c>
      <c r="B188" s="191" t="str">
        <f aca="false">B67</f>
        <v>Sociocultural</v>
      </c>
      <c r="C188" s="191" t="n">
        <f aca="false">C67</f>
        <v>0</v>
      </c>
      <c r="D188" s="191" t="n">
        <f aca="false">D67</f>
        <v>444</v>
      </c>
      <c r="E188" s="191" t="n">
        <f aca="false">E67</f>
        <v>0</v>
      </c>
      <c r="F188" s="212" t="s">
        <v>86</v>
      </c>
      <c r="G188" s="212" t="s">
        <v>86</v>
      </c>
      <c r="H188" s="204"/>
      <c r="I188" s="204"/>
      <c r="J188" s="204"/>
      <c r="K188" s="204"/>
      <c r="L188" s="204"/>
      <c r="M188" s="204"/>
    </row>
    <row r="189" customFormat="false" ht="13.5" hidden="false" customHeight="false" outlineLevel="0" collapsed="false">
      <c r="A189" s="191" t="str">
        <f aca="false">A68</f>
        <v>Biblioteca </v>
      </c>
      <c r="B189" s="191" t="str">
        <f aca="false">B68</f>
        <v>Sociocultural</v>
      </c>
      <c r="C189" s="191" t="str">
        <f aca="false">C68</f>
        <v>si</v>
      </c>
      <c r="D189" s="191" t="n">
        <f aca="false">D68</f>
        <v>683</v>
      </c>
      <c r="E189" s="191" t="n">
        <f aca="false">E68</f>
        <v>53</v>
      </c>
      <c r="F189" s="212" t="s">
        <v>86</v>
      </c>
      <c r="G189" s="212" t="s">
        <v>86</v>
      </c>
      <c r="H189" s="204"/>
      <c r="I189" s="204"/>
      <c r="J189" s="204"/>
      <c r="K189" s="204"/>
      <c r="L189" s="204"/>
      <c r="M189" s="204"/>
    </row>
    <row r="190" customFormat="false" ht="13.5" hidden="false" customHeight="false" outlineLevel="0" collapsed="false">
      <c r="A190" s="191" t="str">
        <f aca="false">A69</f>
        <v>Local cultural</v>
      </c>
      <c r="B190" s="191" t="str">
        <f aca="false">B69</f>
        <v>Sociocultural</v>
      </c>
      <c r="C190" s="191" t="n">
        <f aca="false">C69</f>
        <v>0</v>
      </c>
      <c r="D190" s="191" t="n">
        <f aca="false">D69</f>
        <v>938</v>
      </c>
      <c r="E190" s="191" t="n">
        <f aca="false">E69</f>
        <v>0</v>
      </c>
      <c r="F190" s="212" t="s">
        <v>86</v>
      </c>
      <c r="G190" s="212" t="s">
        <v>86</v>
      </c>
      <c r="H190" s="204"/>
      <c r="I190" s="204"/>
      <c r="J190" s="204"/>
      <c r="K190" s="204"/>
      <c r="L190" s="204"/>
      <c r="M190" s="204"/>
    </row>
    <row r="191" customFormat="false" ht="13.5" hidden="false" customHeight="false" outlineLevel="0" collapsed="false">
      <c r="A191" s="191" t="str">
        <f aca="false">A70</f>
        <v>Centre de dia</v>
      </c>
      <c r="B191" s="191" t="str">
        <f aca="false">B70</f>
        <v>Sociocultural</v>
      </c>
      <c r="C191" s="191" t="n">
        <f aca="false">C70</f>
        <v>0</v>
      </c>
      <c r="D191" s="191" t="n">
        <f aca="false">D70</f>
        <v>621</v>
      </c>
      <c r="E191" s="191" t="n">
        <f aca="false">E70</f>
        <v>0</v>
      </c>
      <c r="F191" s="212" t="s">
        <v>86</v>
      </c>
      <c r="G191" s="212" t="s">
        <v>86</v>
      </c>
      <c r="H191" s="204"/>
      <c r="I191" s="204"/>
      <c r="J191" s="204"/>
      <c r="K191" s="204"/>
      <c r="L191" s="204"/>
      <c r="M191" s="204"/>
    </row>
    <row r="192" customFormat="false" ht="13.5" hidden="false" customHeight="false" outlineLevel="0" collapsed="false">
      <c r="A192" s="191" t="str">
        <f aca="false">A71</f>
        <v>Oficines</v>
      </c>
      <c r="B192" s="191" t="str">
        <f aca="false">B71</f>
        <v>Administratiu</v>
      </c>
      <c r="C192" s="191" t="n">
        <f aca="false">C71</f>
        <v>0</v>
      </c>
      <c r="D192" s="191" t="n">
        <f aca="false">D71</f>
        <v>368</v>
      </c>
      <c r="E192" s="191" t="n">
        <f aca="false">E71</f>
        <v>0</v>
      </c>
      <c r="F192" s="212" t="s">
        <v>86</v>
      </c>
      <c r="G192" s="212" t="s">
        <v>86</v>
      </c>
      <c r="H192" s="204"/>
      <c r="I192" s="204"/>
      <c r="J192" s="204"/>
      <c r="K192" s="204"/>
      <c r="L192" s="204"/>
      <c r="M192" s="204"/>
    </row>
    <row r="193" customFormat="false" ht="13.5" hidden="false" customHeight="false" outlineLevel="0" collapsed="false">
      <c r="A193" s="191" t="str">
        <f aca="false">A72</f>
        <v>Cultural</v>
      </c>
      <c r="B193" s="191" t="str">
        <f aca="false">B72</f>
        <v>Sociocultural</v>
      </c>
      <c r="C193" s="191" t="n">
        <f aca="false">C72</f>
        <v>0</v>
      </c>
      <c r="D193" s="191" t="n">
        <f aca="false">D72</f>
        <v>512</v>
      </c>
      <c r="E193" s="191" t="n">
        <f aca="false">E72</f>
        <v>0</v>
      </c>
      <c r="F193" s="212" t="s">
        <v>86</v>
      </c>
      <c r="G193" s="212" t="s">
        <v>86</v>
      </c>
      <c r="H193" s="204"/>
      <c r="I193" s="204"/>
      <c r="J193" s="204"/>
      <c r="K193" s="204"/>
      <c r="L193" s="204"/>
      <c r="M193" s="204"/>
    </row>
    <row r="194" customFormat="false" ht="13.5" hidden="false" customHeight="false" outlineLevel="0" collapsed="false">
      <c r="A194" s="191" t="str">
        <f aca="false">A73</f>
        <v>Teatre municipal</v>
      </c>
      <c r="B194" s="191" t="str">
        <f aca="false">B73</f>
        <v>Sociocultural</v>
      </c>
      <c r="C194" s="191" t="n">
        <f aca="false">C73</f>
        <v>0</v>
      </c>
      <c r="D194" s="191" t="n">
        <f aca="false">D73</f>
        <v>837</v>
      </c>
      <c r="E194" s="191" t="n">
        <f aca="false">E73</f>
        <v>0</v>
      </c>
      <c r="F194" s="212" t="s">
        <v>86</v>
      </c>
      <c r="G194" s="212" t="s">
        <v>86</v>
      </c>
      <c r="H194" s="204"/>
      <c r="I194" s="204"/>
      <c r="J194" s="204"/>
      <c r="K194" s="204"/>
      <c r="L194" s="204"/>
      <c r="M194" s="204"/>
    </row>
    <row r="195" customFormat="false" ht="13.5" hidden="false" customHeight="false" outlineLevel="0" collapsed="false">
      <c r="A195" s="191" t="str">
        <f aca="false">A74</f>
        <v>Escoleta municipal</v>
      </c>
      <c r="B195" s="191" t="str">
        <f aca="false">B74</f>
        <v>Educatiu</v>
      </c>
      <c r="C195" s="191" t="n">
        <f aca="false">C74</f>
        <v>0</v>
      </c>
      <c r="D195" s="191" t="n">
        <f aca="false">D74</f>
        <v>2393</v>
      </c>
      <c r="E195" s="191" t="n">
        <f aca="false">E74</f>
        <v>0</v>
      </c>
      <c r="F195" s="212" t="s">
        <v>86</v>
      </c>
      <c r="G195" s="212" t="s">
        <v>86</v>
      </c>
      <c r="H195" s="204"/>
      <c r="I195" s="204"/>
      <c r="J195" s="204"/>
      <c r="K195" s="204"/>
      <c r="L195" s="204"/>
      <c r="M195" s="204"/>
    </row>
    <row r="196" customFormat="false" ht="13.5" hidden="false" customHeight="false" outlineLevel="0" collapsed="false">
      <c r="A196" s="191" t="str">
        <f aca="false">A75</f>
        <v>Residencial</v>
      </c>
      <c r="B196" s="191" t="str">
        <f aca="false">B75</f>
        <v>Altres</v>
      </c>
      <c r="C196" s="191" t="n">
        <f aca="false">C75</f>
        <v>0</v>
      </c>
      <c r="D196" s="191" t="n">
        <f aca="false">D75</f>
        <v>144</v>
      </c>
      <c r="E196" s="191" t="n">
        <f aca="false">E75</f>
        <v>0</v>
      </c>
      <c r="F196" s="212" t="s">
        <v>86</v>
      </c>
      <c r="G196" s="212" t="s">
        <v>86</v>
      </c>
      <c r="H196" s="204"/>
      <c r="I196" s="204"/>
      <c r="J196" s="204"/>
      <c r="K196" s="204"/>
      <c r="L196" s="204"/>
      <c r="M196" s="204"/>
    </row>
    <row r="197" customFormat="false" ht="13.5" hidden="false" customHeight="false" outlineLevel="0" collapsed="false">
      <c r="A197" s="191" t="str">
        <f aca="false">A76</f>
        <v>Camp municipal s'Arracó</v>
      </c>
      <c r="B197" s="191" t="str">
        <f aca="false">B76</f>
        <v>Esportiu amb piscina</v>
      </c>
      <c r="C197" s="191" t="str">
        <f aca="false">C76</f>
        <v>si</v>
      </c>
      <c r="D197" s="191" t="n">
        <f aca="false">D76</f>
        <v>5488</v>
      </c>
      <c r="E197" s="191" t="n">
        <f aca="false">E76</f>
        <v>50</v>
      </c>
      <c r="F197" s="212" t="s">
        <v>86</v>
      </c>
      <c r="G197" s="212" t="s">
        <v>86</v>
      </c>
      <c r="H197" s="204"/>
      <c r="I197" s="204"/>
      <c r="J197" s="204"/>
      <c r="K197" s="204"/>
      <c r="L197" s="204"/>
      <c r="M197" s="204"/>
    </row>
    <row r="198" customFormat="false" ht="13.5" hidden="false" customHeight="false" outlineLevel="0" collapsed="false">
      <c r="A198" s="191" t="str">
        <f aca="false">A77</f>
        <v>local comercial</v>
      </c>
      <c r="B198" s="191" t="str">
        <f aca="false">B77</f>
        <v>Altres</v>
      </c>
      <c r="C198" s="191" t="n">
        <f aca="false">C77</f>
        <v>0</v>
      </c>
      <c r="D198" s="191" t="n">
        <f aca="false">D77</f>
        <v>53</v>
      </c>
      <c r="E198" s="191" t="n">
        <f aca="false">E77</f>
        <v>0</v>
      </c>
      <c r="F198" s="212" t="s">
        <v>86</v>
      </c>
      <c r="G198" s="212" t="s">
        <v>86</v>
      </c>
      <c r="H198" s="204"/>
      <c r="I198" s="204"/>
      <c r="J198" s="204"/>
      <c r="K198" s="204"/>
      <c r="L198" s="204"/>
      <c r="M198" s="204"/>
    </row>
    <row r="199" customFormat="false" ht="13.5" hidden="false" customHeight="false" outlineLevel="0" collapsed="false">
      <c r="A199" s="191" t="str">
        <f aca="false">A78</f>
        <v>Casa cultural i assistencial</v>
      </c>
      <c r="B199" s="191" t="str">
        <f aca="false">B78</f>
        <v>Sociocultural</v>
      </c>
      <c r="C199" s="191" t="n">
        <f aca="false">C78</f>
        <v>0</v>
      </c>
      <c r="D199" s="191" t="n">
        <f aca="false">D78</f>
        <v>348</v>
      </c>
      <c r="E199" s="191" t="n">
        <f aca="false">E78</f>
        <v>0</v>
      </c>
      <c r="F199" s="212" t="s">
        <v>86</v>
      </c>
      <c r="G199" s="212" t="s">
        <v>86</v>
      </c>
      <c r="H199" s="204"/>
      <c r="I199" s="204"/>
      <c r="J199" s="204"/>
      <c r="K199" s="204"/>
      <c r="L199" s="204"/>
      <c r="M199" s="204"/>
    </row>
    <row r="200" customFormat="false" ht="13.5" hidden="false" customHeight="false" outlineLevel="0" collapsed="false">
      <c r="A200" s="191" t="str">
        <f aca="false">A79</f>
        <v>Centre de salut</v>
      </c>
      <c r="B200" s="191" t="str">
        <f aca="false">B79</f>
        <v>Sociocultural</v>
      </c>
      <c r="C200" s="191" t="n">
        <f aca="false">C79</f>
        <v>0</v>
      </c>
      <c r="D200" s="191" t="n">
        <f aca="false">D79</f>
        <v>727</v>
      </c>
      <c r="E200" s="191" t="n">
        <f aca="false">E79</f>
        <v>0</v>
      </c>
      <c r="F200" s="212" t="s">
        <v>86</v>
      </c>
      <c r="G200" s="212" t="s">
        <v>86</v>
      </c>
      <c r="H200" s="204"/>
      <c r="I200" s="204"/>
      <c r="J200" s="204"/>
      <c r="K200" s="204"/>
      <c r="L200" s="204"/>
      <c r="M200" s="204"/>
    </row>
    <row r="201" customFormat="false" ht="13.5" hidden="false" customHeight="false" outlineLevel="0" collapsed="false">
      <c r="A201" s="191" t="str">
        <f aca="false">A80</f>
        <v>Institut Baltasar Porcel</v>
      </c>
      <c r="B201" s="191" t="str">
        <f aca="false">B80</f>
        <v>Educatiu</v>
      </c>
      <c r="C201" s="191" t="n">
        <f aca="false">C80</f>
        <v>0</v>
      </c>
      <c r="D201" s="191" t="n">
        <f aca="false">D80</f>
        <v>5361</v>
      </c>
      <c r="E201" s="191" t="n">
        <f aca="false">E80</f>
        <v>0</v>
      </c>
      <c r="F201" s="212" t="s">
        <v>86</v>
      </c>
      <c r="G201" s="212" t="s">
        <v>86</v>
      </c>
      <c r="H201" s="204"/>
      <c r="I201" s="204"/>
      <c r="J201" s="204"/>
      <c r="K201" s="204"/>
      <c r="L201" s="204"/>
      <c r="M201" s="204"/>
    </row>
    <row r="202" customFormat="false" ht="13.5" hidden="false" customHeight="false" outlineLevel="0" collapsed="false">
      <c r="A202" s="191" t="str">
        <f aca="false">A81</f>
        <v>Escola Ses Bassetes</v>
      </c>
      <c r="B202" s="191" t="str">
        <f aca="false">B81</f>
        <v>Educatiu</v>
      </c>
      <c r="C202" s="191" t="n">
        <f aca="false">C81</f>
        <v>0</v>
      </c>
      <c r="D202" s="191" t="n">
        <f aca="false">D81</f>
        <v>238</v>
      </c>
      <c r="E202" s="191" t="n">
        <f aca="false">E81</f>
        <v>0</v>
      </c>
      <c r="F202" s="212" t="s">
        <v>86</v>
      </c>
      <c r="G202" s="212" t="s">
        <v>86</v>
      </c>
      <c r="H202" s="204"/>
      <c r="I202" s="204"/>
      <c r="J202" s="204"/>
      <c r="K202" s="204"/>
      <c r="L202" s="204"/>
      <c r="M202" s="204"/>
    </row>
    <row r="203" customFormat="false" ht="13.5" hidden="false" customHeight="false" outlineLevel="0" collapsed="false">
      <c r="A203" s="191" t="str">
        <f aca="false">A82</f>
        <v>Escola Ses Bassetes</v>
      </c>
      <c r="B203" s="191" t="str">
        <f aca="false">B82</f>
        <v>Educatiu</v>
      </c>
      <c r="C203" s="191" t="n">
        <f aca="false">C82</f>
        <v>0</v>
      </c>
      <c r="D203" s="191" t="n">
        <f aca="false">D82</f>
        <v>238</v>
      </c>
      <c r="E203" s="191" t="n">
        <f aca="false">E82</f>
        <v>0</v>
      </c>
      <c r="F203" s="212" t="s">
        <v>86</v>
      </c>
      <c r="G203" s="212" t="s">
        <v>86</v>
      </c>
      <c r="H203" s="204"/>
      <c r="I203" s="204"/>
      <c r="J203" s="204"/>
      <c r="K203" s="204"/>
      <c r="L203" s="204"/>
      <c r="M203" s="204"/>
    </row>
    <row r="204" customFormat="false" ht="13.5" hidden="false" customHeight="false" outlineLevel="0" collapsed="false">
      <c r="A204" s="191" t="str">
        <f aca="false">A83</f>
        <v>Local gent gran</v>
      </c>
      <c r="B204" s="191" t="str">
        <f aca="false">B83</f>
        <v>Sociocultural</v>
      </c>
      <c r="C204" s="191" t="n">
        <f aca="false">C83</f>
        <v>0</v>
      </c>
      <c r="D204" s="191" t="n">
        <f aca="false">D83</f>
        <v>936</v>
      </c>
      <c r="E204" s="191" t="n">
        <f aca="false">E83</f>
        <v>0</v>
      </c>
      <c r="F204" s="212" t="s">
        <v>86</v>
      </c>
      <c r="G204" s="212" t="s">
        <v>86</v>
      </c>
      <c r="H204" s="204"/>
      <c r="I204" s="204"/>
      <c r="J204" s="204"/>
      <c r="K204" s="204"/>
      <c r="L204" s="204"/>
      <c r="M204" s="204"/>
    </row>
    <row r="205" customFormat="false" ht="13.5" hidden="false" customHeight="false" outlineLevel="0" collapsed="false">
      <c r="A205" s="191" t="n">
        <f aca="false">A84</f>
        <v>0</v>
      </c>
      <c r="B205" s="191" t="n">
        <f aca="false">B84</f>
        <v>0</v>
      </c>
      <c r="C205" s="191" t="n">
        <f aca="false">C84</f>
        <v>0</v>
      </c>
      <c r="D205" s="191" t="n">
        <f aca="false">D84</f>
        <v>0</v>
      </c>
      <c r="E205" s="191" t="n">
        <f aca="false">E84</f>
        <v>0</v>
      </c>
      <c r="F205" s="212" t="s">
        <v>86</v>
      </c>
      <c r="G205" s="212" t="s">
        <v>86</v>
      </c>
      <c r="H205" s="204"/>
      <c r="I205" s="204"/>
      <c r="J205" s="204"/>
      <c r="K205" s="204"/>
      <c r="L205" s="204"/>
      <c r="M205" s="204"/>
    </row>
    <row r="206" customFormat="false" ht="13.5" hidden="false" customHeight="false" outlineLevel="0" collapsed="false">
      <c r="F206" s="209" t="s">
        <v>272</v>
      </c>
      <c r="G206" s="209"/>
      <c r="H206" s="209" t="n">
        <f aca="false">SUM(H180:H205)</f>
        <v>68000</v>
      </c>
      <c r="I206" s="209" t="n">
        <f aca="false">SUM(I180:I205)</f>
        <v>68000</v>
      </c>
      <c r="J206" s="209" t="n">
        <f aca="false">SUM(J180:J205)</f>
        <v>68000</v>
      </c>
      <c r="K206" s="209" t="n">
        <f aca="false">SUM(K180:K205)</f>
        <v>68000</v>
      </c>
      <c r="L206" s="209" t="n">
        <f aca="false">SUM(L180:L205)</f>
        <v>68000</v>
      </c>
      <c r="M206" s="209" t="n">
        <f aca="false">SUM(M180:M205)</f>
        <v>68000</v>
      </c>
    </row>
    <row r="209" customFormat="false" ht="13.5" hidden="false" customHeight="false" outlineLevel="0" collapsed="false">
      <c r="A209" s="194" t="s">
        <v>53</v>
      </c>
      <c r="H209" s="182" t="s">
        <v>392</v>
      </c>
      <c r="I209" s="182"/>
      <c r="J209" s="182"/>
      <c r="K209" s="182"/>
      <c r="L209" s="182"/>
      <c r="M209" s="182"/>
      <c r="N209" s="182" t="s">
        <v>322</v>
      </c>
      <c r="O209" s="182"/>
      <c r="P209" s="182"/>
      <c r="Q209" s="182"/>
      <c r="R209" s="182"/>
      <c r="S209" s="182"/>
      <c r="T209" s="195"/>
      <c r="U209" s="195"/>
      <c r="V209" s="195"/>
      <c r="W209" s="195"/>
      <c r="X209" s="195"/>
      <c r="Y209" s="195"/>
      <c r="Z209" s="195"/>
      <c r="AA209" s="195"/>
      <c r="AB209" s="195"/>
      <c r="AC209" s="195"/>
      <c r="AD209" s="195"/>
      <c r="AE209" s="195"/>
      <c r="AF209" s="195"/>
      <c r="AG209" s="195"/>
      <c r="AH209" s="195"/>
      <c r="AI209" s="195"/>
      <c r="AJ209" s="195"/>
      <c r="AK209" s="195"/>
      <c r="AL209" s="195"/>
      <c r="AM209" s="195"/>
    </row>
    <row r="210" customFormat="false" ht="13.5" hidden="false" customHeight="false" outlineLevel="0" collapsed="false">
      <c r="A210" s="182" t="s">
        <v>315</v>
      </c>
      <c r="B210" s="182" t="s">
        <v>324</v>
      </c>
      <c r="C210" s="182" t="s">
        <v>325</v>
      </c>
      <c r="D210" s="182" t="s">
        <v>326</v>
      </c>
      <c r="E210" s="182" t="s">
        <v>327</v>
      </c>
      <c r="F210" s="182" t="s">
        <v>328</v>
      </c>
      <c r="G210" s="182" t="s">
        <v>329</v>
      </c>
      <c r="H210" s="182" t="n">
        <f aca="false">H149</f>
        <v>2005</v>
      </c>
      <c r="I210" s="182" t="n">
        <f aca="false">I149</f>
        <v>2006</v>
      </c>
      <c r="J210" s="182" t="n">
        <f aca="false">J149</f>
        <v>2007</v>
      </c>
      <c r="K210" s="182" t="n">
        <f aca="false">K149</f>
        <v>2008</v>
      </c>
      <c r="L210" s="182" t="n">
        <f aca="false">L149</f>
        <v>2009</v>
      </c>
      <c r="M210" s="182" t="n">
        <f aca="false">M149</f>
        <v>2010</v>
      </c>
      <c r="N210" s="182" t="n">
        <f aca="false">H210</f>
        <v>2005</v>
      </c>
      <c r="O210" s="182" t="n">
        <f aca="false">I210</f>
        <v>2006</v>
      </c>
      <c r="P210" s="182" t="n">
        <f aca="false">J210</f>
        <v>2007</v>
      </c>
      <c r="Q210" s="182" t="n">
        <f aca="false">K210</f>
        <v>2008</v>
      </c>
      <c r="R210" s="182" t="n">
        <f aca="false">L210</f>
        <v>2009</v>
      </c>
      <c r="S210" s="182" t="n">
        <f aca="false">M210</f>
        <v>2010</v>
      </c>
      <c r="T210" s="195"/>
      <c r="U210" s="195"/>
      <c r="V210" s="195"/>
      <c r="W210" s="195"/>
      <c r="X210" s="195"/>
      <c r="Y210" s="195"/>
      <c r="Z210" s="195"/>
      <c r="AA210" s="195"/>
      <c r="AB210" s="195"/>
      <c r="AC210" s="195"/>
      <c r="AD210" s="195"/>
      <c r="AE210" s="195"/>
      <c r="AF210" s="195"/>
      <c r="AG210" s="195"/>
      <c r="AH210" s="195"/>
      <c r="AI210" s="195"/>
      <c r="AJ210" s="195"/>
      <c r="AK210" s="195"/>
      <c r="AL210" s="195"/>
      <c r="AM210" s="195"/>
    </row>
    <row r="211" customFormat="false" ht="13.5" hidden="false" customHeight="false" outlineLevel="0" collapsed="false">
      <c r="A211" s="191" t="str">
        <f aca="false">A59</f>
        <v>Ajuntament Andratx</v>
      </c>
      <c r="B211" s="191" t="str">
        <f aca="false">B59</f>
        <v>Administratiu</v>
      </c>
      <c r="C211" s="191" t="str">
        <f aca="false">C59</f>
        <v>si</v>
      </c>
      <c r="D211" s="191" t="n">
        <f aca="false">D59</f>
        <v>3636</v>
      </c>
      <c r="E211" s="191" t="n">
        <f aca="false">E59</f>
        <v>220</v>
      </c>
      <c r="F211" s="212" t="s">
        <v>86</v>
      </c>
      <c r="G211" s="212" t="s">
        <v>86</v>
      </c>
      <c r="H211" s="213" t="n">
        <f aca="false">'8.EQUIPAM'!H241*'0.DADES'!$D$77</f>
        <v>0</v>
      </c>
      <c r="I211" s="213" t="n">
        <f aca="false">'8.EQUIPAM'!I241*'0.DADES'!$D$77</f>
        <v>0</v>
      </c>
      <c r="J211" s="213" t="n">
        <f aca="false">'8.EQUIPAM'!J241*'0.DADES'!$D$77</f>
        <v>0</v>
      </c>
      <c r="K211" s="213" t="n">
        <f aca="false">'8.EQUIPAM'!K241*'0.DADES'!$D$77</f>
        <v>0</v>
      </c>
      <c r="L211" s="213" t="n">
        <f aca="false">'8.EQUIPAM'!L241*'0.DADES'!$D$77</f>
        <v>0</v>
      </c>
      <c r="M211" s="213" t="n">
        <f aca="false">'8.EQUIPAM'!M241*'0.DADES'!$D$77</f>
        <v>0</v>
      </c>
      <c r="N211" s="204"/>
      <c r="O211" s="204"/>
      <c r="P211" s="204"/>
      <c r="Q211" s="204"/>
      <c r="R211" s="204"/>
      <c r="S211" s="204"/>
      <c r="T211" s="195"/>
      <c r="U211" s="195"/>
      <c r="V211" s="195"/>
      <c r="W211" s="195"/>
      <c r="X211" s="195"/>
      <c r="Y211" s="195"/>
      <c r="Z211" s="195"/>
      <c r="AA211" s="195"/>
      <c r="AB211" s="195"/>
      <c r="AC211" s="195"/>
      <c r="AD211" s="195"/>
      <c r="AE211" s="195"/>
      <c r="AF211" s="195"/>
      <c r="AG211" s="195"/>
      <c r="AH211" s="195"/>
      <c r="AI211" s="195"/>
      <c r="AJ211" s="195"/>
      <c r="AK211" s="195"/>
      <c r="AL211" s="195"/>
      <c r="AM211" s="195"/>
    </row>
    <row r="212" customFormat="false" ht="13.5" hidden="false" customHeight="false" outlineLevel="0" collapsed="false">
      <c r="A212" s="191" t="str">
        <f aca="false">A60</f>
        <v>Poliesportiu municipal Es vinyet</v>
      </c>
      <c r="B212" s="191" t="str">
        <f aca="false">B60</f>
        <v>Esportiu sense piscina</v>
      </c>
      <c r="C212" s="191" t="n">
        <f aca="false">C60</f>
        <v>0</v>
      </c>
      <c r="D212" s="191" t="n">
        <f aca="false">D60</f>
        <v>0</v>
      </c>
      <c r="E212" s="191" t="n">
        <f aca="false">E60</f>
        <v>0</v>
      </c>
      <c r="F212" s="212" t="s">
        <v>86</v>
      </c>
      <c r="G212" s="212" t="s">
        <v>86</v>
      </c>
      <c r="H212" s="213" t="n">
        <f aca="false">'8.EQUIPAM'!H242*'0.DADES'!$D$77</f>
        <v>78837.2093023256</v>
      </c>
      <c r="I212" s="213" t="n">
        <f aca="false">'8.EQUIPAM'!I242*'0.DADES'!$D$77</f>
        <v>78837.2093023256</v>
      </c>
      <c r="J212" s="213" t="n">
        <f aca="false">'8.EQUIPAM'!J242*'0.DADES'!$D$77</f>
        <v>78837.2093023256</v>
      </c>
      <c r="K212" s="213" t="n">
        <f aca="false">'8.EQUIPAM'!K242*'0.DADES'!$D$77</f>
        <v>78837.2093023256</v>
      </c>
      <c r="L212" s="213" t="n">
        <f aca="false">'8.EQUIPAM'!L242*'0.DADES'!$D$77</f>
        <v>78837.2093023256</v>
      </c>
      <c r="M212" s="213" t="n">
        <f aca="false">'8.EQUIPAM'!M242*'0.DADES'!$D$77</f>
        <v>78837.2093023256</v>
      </c>
      <c r="N212" s="204"/>
      <c r="O212" s="204"/>
      <c r="P212" s="204"/>
      <c r="Q212" s="204"/>
      <c r="R212" s="204"/>
      <c r="S212" s="204"/>
    </row>
    <row r="213" customFormat="false" ht="13.5" hidden="false" customHeight="false" outlineLevel="0" collapsed="false">
      <c r="A213" s="191" t="str">
        <f aca="false">A61</f>
        <v>Camp municipal Sa Plana</v>
      </c>
      <c r="B213" s="191" t="str">
        <f aca="false">B61</f>
        <v>Esportiu sense piscina</v>
      </c>
      <c r="C213" s="191" t="str">
        <f aca="false">C61</f>
        <v>si</v>
      </c>
      <c r="D213" s="191" t="n">
        <f aca="false">D61</f>
        <v>7543</v>
      </c>
      <c r="E213" s="191" t="n">
        <f aca="false">E61</f>
        <v>50</v>
      </c>
      <c r="F213" s="212" t="s">
        <v>86</v>
      </c>
      <c r="G213" s="212" t="s">
        <v>86</v>
      </c>
      <c r="H213" s="213" t="n">
        <f aca="false">'8.EQUIPAM'!H243*'0.DADES'!$D$77</f>
        <v>38104.6511627907</v>
      </c>
      <c r="I213" s="213" t="n">
        <f aca="false">'8.EQUIPAM'!I243*'0.DADES'!$D$77</f>
        <v>38104.6511627907</v>
      </c>
      <c r="J213" s="213" t="n">
        <f aca="false">'8.EQUIPAM'!J243*'0.DADES'!$D$77</f>
        <v>38104.6511627907</v>
      </c>
      <c r="K213" s="213" t="n">
        <f aca="false">'8.EQUIPAM'!K243*'0.DADES'!$D$77</f>
        <v>38104.6511627907</v>
      </c>
      <c r="L213" s="213" t="n">
        <f aca="false">'8.EQUIPAM'!L243*'0.DADES'!$D$77</f>
        <v>38104.6511627907</v>
      </c>
      <c r="M213" s="213" t="n">
        <f aca="false">'8.EQUIPAM'!M243*'0.DADES'!$D$77</f>
        <v>38104.6511627907</v>
      </c>
      <c r="N213" s="204"/>
      <c r="O213" s="204"/>
      <c r="P213" s="204"/>
      <c r="Q213" s="204"/>
      <c r="R213" s="204"/>
      <c r="S213" s="204"/>
    </row>
    <row r="214" customFormat="false" ht="13.5" hidden="false" customHeight="false" outlineLevel="0" collapsed="false">
      <c r="A214" s="191" t="str">
        <f aca="false">A62</f>
        <v>Cementiri s'Arracó</v>
      </c>
      <c r="B214" s="191" t="str">
        <f aca="false">B62</f>
        <v>Sociocultural</v>
      </c>
      <c r="C214" s="191" t="n">
        <f aca="false">C62</f>
        <v>0</v>
      </c>
      <c r="D214" s="191" t="n">
        <f aca="false">D62</f>
        <v>0</v>
      </c>
      <c r="E214" s="191" t="n">
        <f aca="false">E62</f>
        <v>0</v>
      </c>
      <c r="F214" s="212" t="s">
        <v>86</v>
      </c>
      <c r="G214" s="212" t="s">
        <v>86</v>
      </c>
      <c r="H214" s="213" t="n">
        <f aca="false">'8.EQUIPAM'!H244*'0.DADES'!$D$77</f>
        <v>0</v>
      </c>
      <c r="I214" s="213" t="n">
        <f aca="false">'8.EQUIPAM'!I244*'0.DADES'!$D$77</f>
        <v>0</v>
      </c>
      <c r="J214" s="213" t="n">
        <f aca="false">'8.EQUIPAM'!J244*'0.DADES'!$D$77</f>
        <v>0</v>
      </c>
      <c r="K214" s="213" t="n">
        <f aca="false">'8.EQUIPAM'!K244*'0.DADES'!$D$77</f>
        <v>0</v>
      </c>
      <c r="L214" s="213" t="n">
        <f aca="false">'8.EQUIPAM'!L244*'0.DADES'!$D$77</f>
        <v>0</v>
      </c>
      <c r="M214" s="213" t="n">
        <f aca="false">'8.EQUIPAM'!M244*'0.DADES'!$D$77</f>
        <v>0</v>
      </c>
      <c r="N214" s="204"/>
      <c r="O214" s="204"/>
      <c r="P214" s="204"/>
      <c r="Q214" s="204"/>
      <c r="R214" s="204"/>
      <c r="S214" s="204"/>
    </row>
    <row r="215" customFormat="false" ht="13.5" hidden="false" customHeight="false" outlineLevel="0" collapsed="false">
      <c r="A215" s="191" t="str">
        <f aca="false">A63</f>
        <v>Col·legi</v>
      </c>
      <c r="B215" s="191" t="str">
        <f aca="false">B63</f>
        <v>Educatiu</v>
      </c>
      <c r="C215" s="191" t="n">
        <f aca="false">C63</f>
        <v>0</v>
      </c>
      <c r="D215" s="191" t="n">
        <f aca="false">D63</f>
        <v>0</v>
      </c>
      <c r="E215" s="191" t="n">
        <f aca="false">E63</f>
        <v>0</v>
      </c>
      <c r="F215" s="212" t="s">
        <v>86</v>
      </c>
      <c r="G215" s="212" t="s">
        <v>86</v>
      </c>
      <c r="H215" s="213" t="n">
        <f aca="false">'8.EQUIPAM'!H245*'0.DADES'!$D$77</f>
        <v>0</v>
      </c>
      <c r="I215" s="213" t="n">
        <f aca="false">'8.EQUIPAM'!I245*'0.DADES'!$D$77</f>
        <v>0</v>
      </c>
      <c r="J215" s="213" t="n">
        <f aca="false">'8.EQUIPAM'!J245*'0.DADES'!$D$77</f>
        <v>0</v>
      </c>
      <c r="K215" s="213" t="n">
        <f aca="false">'8.EQUIPAM'!K245*'0.DADES'!$D$77</f>
        <v>0</v>
      </c>
      <c r="L215" s="213" t="n">
        <f aca="false">'8.EQUIPAM'!L245*'0.DADES'!$D$77</f>
        <v>0</v>
      </c>
      <c r="M215" s="213" t="n">
        <f aca="false">'8.EQUIPAM'!M245*'0.DADES'!$D$77</f>
        <v>0</v>
      </c>
      <c r="N215" s="204"/>
      <c r="O215" s="204"/>
      <c r="P215" s="204"/>
      <c r="Q215" s="204"/>
      <c r="R215" s="204"/>
      <c r="S215" s="204"/>
    </row>
    <row r="216" customFormat="false" ht="13.5" hidden="false" customHeight="false" outlineLevel="0" collapsed="false">
      <c r="A216" s="191" t="str">
        <f aca="false">A64</f>
        <v>Palau d'esports</v>
      </c>
      <c r="B216" s="191" t="str">
        <f aca="false">B64</f>
        <v>Esportiu amb piscina</v>
      </c>
      <c r="C216" s="191" t="str">
        <f aca="false">C64</f>
        <v>si</v>
      </c>
      <c r="D216" s="191" t="n">
        <f aca="false">D64</f>
        <v>5676</v>
      </c>
      <c r="E216" s="191" t="n">
        <f aca="false">E64</f>
        <v>300</v>
      </c>
      <c r="F216" s="212" t="s">
        <v>86</v>
      </c>
      <c r="G216" s="212" t="s">
        <v>86</v>
      </c>
      <c r="H216" s="213" t="n">
        <f aca="false">'8.EQUIPAM'!H246*'0.DADES'!$D$77</f>
        <v>35818.3720930233</v>
      </c>
      <c r="I216" s="213" t="n">
        <f aca="false">'8.EQUIPAM'!I246*'0.DADES'!$D$77</f>
        <v>35818.3720930233</v>
      </c>
      <c r="J216" s="213" t="n">
        <f aca="false">'8.EQUIPAM'!J246*'0.DADES'!$D$77</f>
        <v>35818.3720930233</v>
      </c>
      <c r="K216" s="213" t="n">
        <f aca="false">'8.EQUIPAM'!K246*'0.DADES'!$D$77</f>
        <v>35818.3720930233</v>
      </c>
      <c r="L216" s="213" t="n">
        <f aca="false">'8.EQUIPAM'!L246*'0.DADES'!$D$77</f>
        <v>35818.3720930233</v>
      </c>
      <c r="M216" s="213" t="n">
        <f aca="false">'8.EQUIPAM'!M246*'0.DADES'!$D$77</f>
        <v>35818.3720930233</v>
      </c>
      <c r="N216" s="204"/>
      <c r="O216" s="204"/>
      <c r="P216" s="204"/>
      <c r="Q216" s="204"/>
      <c r="R216" s="204"/>
      <c r="S216" s="204"/>
    </row>
    <row r="217" customFormat="false" ht="13.5" hidden="false" customHeight="false" outlineLevel="0" collapsed="false">
      <c r="A217" s="191" t="str">
        <f aca="false">A65</f>
        <v>Escola de música</v>
      </c>
      <c r="B217" s="191" t="str">
        <f aca="false">B65</f>
        <v>Educatiu</v>
      </c>
      <c r="C217" s="191" t="n">
        <f aca="false">C65</f>
        <v>0</v>
      </c>
      <c r="D217" s="191" t="n">
        <f aca="false">D65</f>
        <v>469</v>
      </c>
      <c r="E217" s="191" t="n">
        <f aca="false">E65</f>
        <v>0</v>
      </c>
      <c r="F217" s="212" t="s">
        <v>86</v>
      </c>
      <c r="G217" s="212" t="s">
        <v>86</v>
      </c>
      <c r="H217" s="213" t="n">
        <f aca="false">'8.EQUIPAM'!H247*'0.DADES'!$D$77</f>
        <v>0</v>
      </c>
      <c r="I217" s="213" t="n">
        <f aca="false">'8.EQUIPAM'!I247*'0.DADES'!$D$77</f>
        <v>0</v>
      </c>
      <c r="J217" s="213" t="n">
        <f aca="false">'8.EQUIPAM'!J247*'0.DADES'!$D$77</f>
        <v>0</v>
      </c>
      <c r="K217" s="213" t="n">
        <f aca="false">'8.EQUIPAM'!K247*'0.DADES'!$D$77</f>
        <v>0</v>
      </c>
      <c r="L217" s="213" t="n">
        <f aca="false">'8.EQUIPAM'!L247*'0.DADES'!$D$77</f>
        <v>0</v>
      </c>
      <c r="M217" s="213" t="n">
        <f aca="false">'8.EQUIPAM'!M247*'0.DADES'!$D$77</f>
        <v>0</v>
      </c>
      <c r="N217" s="204"/>
      <c r="O217" s="204"/>
      <c r="P217" s="204"/>
      <c r="Q217" s="204"/>
      <c r="R217" s="204"/>
      <c r="S217" s="204"/>
    </row>
    <row r="218" customFormat="false" ht="13.5" hidden="false" customHeight="false" outlineLevel="0" collapsed="false">
      <c r="A218" s="191" t="str">
        <f aca="false">A66</f>
        <v>Cementeri municipal Andratx</v>
      </c>
      <c r="B218" s="191" t="str">
        <f aca="false">B66</f>
        <v>Sociocultural</v>
      </c>
      <c r="C218" s="191" t="n">
        <f aca="false">C66</f>
        <v>0</v>
      </c>
      <c r="D218" s="191" t="n">
        <f aca="false">D66</f>
        <v>2949</v>
      </c>
      <c r="E218" s="191" t="n">
        <f aca="false">E66</f>
        <v>0</v>
      </c>
      <c r="F218" s="212" t="s">
        <v>86</v>
      </c>
      <c r="G218" s="212" t="s">
        <v>86</v>
      </c>
      <c r="H218" s="213" t="n">
        <f aca="false">'8.EQUIPAM'!H248*'0.DADES'!$D$77</f>
        <v>0</v>
      </c>
      <c r="I218" s="213" t="n">
        <f aca="false">'8.EQUIPAM'!I248*'0.DADES'!$D$77</f>
        <v>0</v>
      </c>
      <c r="J218" s="213" t="n">
        <f aca="false">'8.EQUIPAM'!J248*'0.DADES'!$D$77</f>
        <v>0</v>
      </c>
      <c r="K218" s="213" t="n">
        <f aca="false">'8.EQUIPAM'!K248*'0.DADES'!$D$77</f>
        <v>0</v>
      </c>
      <c r="L218" s="213" t="n">
        <f aca="false">'8.EQUIPAM'!L248*'0.DADES'!$D$77</f>
        <v>0</v>
      </c>
      <c r="M218" s="213" t="n">
        <f aca="false">'8.EQUIPAM'!M248*'0.DADES'!$D$77</f>
        <v>0</v>
      </c>
      <c r="N218" s="204"/>
      <c r="O218" s="204"/>
      <c r="P218" s="204"/>
      <c r="Q218" s="204"/>
      <c r="R218" s="204"/>
      <c r="S218" s="204"/>
    </row>
    <row r="219" customFormat="false" ht="13.5" hidden="false" customHeight="false" outlineLevel="0" collapsed="false">
      <c r="A219" s="191" t="str">
        <f aca="false">A67</f>
        <v>Parc verd</v>
      </c>
      <c r="B219" s="191" t="str">
        <f aca="false">B67</f>
        <v>Sociocultural</v>
      </c>
      <c r="C219" s="191" t="n">
        <f aca="false">C67</f>
        <v>0</v>
      </c>
      <c r="D219" s="191" t="n">
        <f aca="false">D67</f>
        <v>444</v>
      </c>
      <c r="E219" s="191" t="n">
        <f aca="false">E67</f>
        <v>0</v>
      </c>
      <c r="F219" s="212" t="s">
        <v>86</v>
      </c>
      <c r="G219" s="212" t="s">
        <v>86</v>
      </c>
      <c r="H219" s="213" t="n">
        <f aca="false">'8.EQUIPAM'!H249*'0.DADES'!$D$77</f>
        <v>0</v>
      </c>
      <c r="I219" s="213" t="n">
        <f aca="false">'8.EQUIPAM'!I249*'0.DADES'!$D$77</f>
        <v>0</v>
      </c>
      <c r="J219" s="213" t="n">
        <f aca="false">'8.EQUIPAM'!J249*'0.DADES'!$D$77</f>
        <v>0</v>
      </c>
      <c r="K219" s="213" t="n">
        <f aca="false">'8.EQUIPAM'!K249*'0.DADES'!$D$77</f>
        <v>0</v>
      </c>
      <c r="L219" s="213" t="n">
        <f aca="false">'8.EQUIPAM'!L249*'0.DADES'!$D$77</f>
        <v>0</v>
      </c>
      <c r="M219" s="213" t="n">
        <f aca="false">'8.EQUIPAM'!M249*'0.DADES'!$D$77</f>
        <v>0</v>
      </c>
      <c r="N219" s="204"/>
      <c r="O219" s="204"/>
      <c r="P219" s="204"/>
      <c r="Q219" s="204"/>
      <c r="R219" s="204"/>
      <c r="S219" s="204"/>
    </row>
    <row r="220" customFormat="false" ht="13.5" hidden="false" customHeight="false" outlineLevel="0" collapsed="false">
      <c r="A220" s="191" t="str">
        <f aca="false">A68</f>
        <v>Biblioteca </v>
      </c>
      <c r="B220" s="191" t="str">
        <f aca="false">B68</f>
        <v>Sociocultural</v>
      </c>
      <c r="C220" s="191" t="str">
        <f aca="false">C68</f>
        <v>si</v>
      </c>
      <c r="D220" s="191" t="n">
        <f aca="false">D68</f>
        <v>683</v>
      </c>
      <c r="E220" s="191" t="n">
        <f aca="false">E68</f>
        <v>53</v>
      </c>
      <c r="F220" s="212" t="s">
        <v>86</v>
      </c>
      <c r="G220" s="212" t="s">
        <v>86</v>
      </c>
      <c r="H220" s="213" t="n">
        <f aca="false">'8.EQUIPAM'!H250*'0.DADES'!$D$77</f>
        <v>0</v>
      </c>
      <c r="I220" s="213" t="n">
        <f aca="false">'8.EQUIPAM'!I250*'0.DADES'!$D$77</f>
        <v>0</v>
      </c>
      <c r="J220" s="213" t="n">
        <f aca="false">'8.EQUIPAM'!J250*'0.DADES'!$D$77</f>
        <v>0</v>
      </c>
      <c r="K220" s="213" t="n">
        <f aca="false">'8.EQUIPAM'!K250*'0.DADES'!$D$77</f>
        <v>0</v>
      </c>
      <c r="L220" s="213" t="n">
        <f aca="false">'8.EQUIPAM'!L250*'0.DADES'!$D$77</f>
        <v>0</v>
      </c>
      <c r="M220" s="213" t="n">
        <f aca="false">'8.EQUIPAM'!M250*'0.DADES'!$D$77</f>
        <v>0</v>
      </c>
      <c r="N220" s="204"/>
      <c r="O220" s="204"/>
      <c r="P220" s="204"/>
      <c r="Q220" s="204"/>
      <c r="R220" s="204"/>
      <c r="S220" s="204"/>
    </row>
    <row r="221" customFormat="false" ht="13.5" hidden="false" customHeight="false" outlineLevel="0" collapsed="false">
      <c r="A221" s="191" t="str">
        <f aca="false">A69</f>
        <v>Local cultural</v>
      </c>
      <c r="B221" s="191" t="str">
        <f aca="false">B69</f>
        <v>Sociocultural</v>
      </c>
      <c r="C221" s="191" t="n">
        <f aca="false">C69</f>
        <v>0</v>
      </c>
      <c r="D221" s="191" t="n">
        <f aca="false">D69</f>
        <v>938</v>
      </c>
      <c r="E221" s="191" t="n">
        <f aca="false">E69</f>
        <v>0</v>
      </c>
      <c r="F221" s="212" t="s">
        <v>86</v>
      </c>
      <c r="G221" s="212" t="s">
        <v>86</v>
      </c>
      <c r="H221" s="213" t="n">
        <f aca="false">'8.EQUIPAM'!H251*'0.DADES'!$D$77</f>
        <v>0</v>
      </c>
      <c r="I221" s="213" t="n">
        <f aca="false">'8.EQUIPAM'!I251*'0.DADES'!$D$77</f>
        <v>0</v>
      </c>
      <c r="J221" s="213" t="n">
        <f aca="false">'8.EQUIPAM'!J251*'0.DADES'!$D$77</f>
        <v>0</v>
      </c>
      <c r="K221" s="213" t="n">
        <f aca="false">'8.EQUIPAM'!K251*'0.DADES'!$D$77</f>
        <v>0</v>
      </c>
      <c r="L221" s="213" t="n">
        <f aca="false">'8.EQUIPAM'!L251*'0.DADES'!$D$77</f>
        <v>0</v>
      </c>
      <c r="M221" s="213" t="n">
        <f aca="false">'8.EQUIPAM'!M251*'0.DADES'!$D$77</f>
        <v>0</v>
      </c>
      <c r="N221" s="204"/>
      <c r="O221" s="204"/>
      <c r="P221" s="204"/>
      <c r="Q221" s="204"/>
      <c r="R221" s="204"/>
      <c r="S221" s="204"/>
    </row>
    <row r="222" customFormat="false" ht="13.5" hidden="false" customHeight="false" outlineLevel="0" collapsed="false">
      <c r="A222" s="191" t="str">
        <f aca="false">A70</f>
        <v>Centre de dia</v>
      </c>
      <c r="B222" s="191" t="str">
        <f aca="false">B70</f>
        <v>Sociocultural</v>
      </c>
      <c r="C222" s="191" t="n">
        <f aca="false">C70</f>
        <v>0</v>
      </c>
      <c r="D222" s="191" t="n">
        <f aca="false">D70</f>
        <v>621</v>
      </c>
      <c r="E222" s="191" t="n">
        <f aca="false">E70</f>
        <v>0</v>
      </c>
      <c r="F222" s="212" t="s">
        <v>86</v>
      </c>
      <c r="G222" s="212" t="s">
        <v>86</v>
      </c>
      <c r="H222" s="213" t="n">
        <f aca="false">'8.EQUIPAM'!H252*'0.DADES'!$D$77</f>
        <v>0</v>
      </c>
      <c r="I222" s="213" t="n">
        <f aca="false">'8.EQUIPAM'!I252*'0.DADES'!$D$77</f>
        <v>0</v>
      </c>
      <c r="J222" s="213" t="n">
        <f aca="false">'8.EQUIPAM'!J252*'0.DADES'!$D$77</f>
        <v>0</v>
      </c>
      <c r="K222" s="213" t="n">
        <f aca="false">'8.EQUIPAM'!K252*'0.DADES'!$D$77</f>
        <v>0</v>
      </c>
      <c r="L222" s="213" t="n">
        <f aca="false">'8.EQUIPAM'!L252*'0.DADES'!$D$77</f>
        <v>0</v>
      </c>
      <c r="M222" s="213" t="n">
        <f aca="false">'8.EQUIPAM'!M252*'0.DADES'!$D$77</f>
        <v>0</v>
      </c>
      <c r="N222" s="204"/>
      <c r="O222" s="204"/>
      <c r="P222" s="204"/>
      <c r="Q222" s="204"/>
      <c r="R222" s="204"/>
      <c r="S222" s="204"/>
    </row>
    <row r="223" customFormat="false" ht="13.5" hidden="false" customHeight="false" outlineLevel="0" collapsed="false">
      <c r="A223" s="191" t="str">
        <f aca="false">A71</f>
        <v>Oficines</v>
      </c>
      <c r="B223" s="191" t="str">
        <f aca="false">B71</f>
        <v>Administratiu</v>
      </c>
      <c r="C223" s="191" t="n">
        <f aca="false">C71</f>
        <v>0</v>
      </c>
      <c r="D223" s="191" t="n">
        <f aca="false">D71</f>
        <v>368</v>
      </c>
      <c r="E223" s="191" t="n">
        <f aca="false">E71</f>
        <v>0</v>
      </c>
      <c r="F223" s="212" t="s">
        <v>86</v>
      </c>
      <c r="G223" s="212" t="s">
        <v>86</v>
      </c>
      <c r="H223" s="213" t="n">
        <f aca="false">'8.EQUIPAM'!H253*'0.DADES'!$D$77</f>
        <v>0</v>
      </c>
      <c r="I223" s="213" t="n">
        <f aca="false">'8.EQUIPAM'!I253*'0.DADES'!$D$77</f>
        <v>0</v>
      </c>
      <c r="J223" s="213" t="n">
        <f aca="false">'8.EQUIPAM'!J253*'0.DADES'!$D$77</f>
        <v>0</v>
      </c>
      <c r="K223" s="213" t="n">
        <f aca="false">'8.EQUIPAM'!K253*'0.DADES'!$D$77</f>
        <v>0</v>
      </c>
      <c r="L223" s="213" t="n">
        <f aca="false">'8.EQUIPAM'!L253*'0.DADES'!$D$77</f>
        <v>0</v>
      </c>
      <c r="M223" s="213" t="n">
        <f aca="false">'8.EQUIPAM'!M253*'0.DADES'!$D$77</f>
        <v>0</v>
      </c>
      <c r="N223" s="204"/>
      <c r="O223" s="204"/>
      <c r="P223" s="204"/>
      <c r="Q223" s="204"/>
      <c r="R223" s="204"/>
      <c r="S223" s="204"/>
    </row>
    <row r="224" customFormat="false" ht="13.5" hidden="false" customHeight="false" outlineLevel="0" collapsed="false">
      <c r="A224" s="191" t="str">
        <f aca="false">A72</f>
        <v>Cultural</v>
      </c>
      <c r="B224" s="191" t="str">
        <f aca="false">B72</f>
        <v>Sociocultural</v>
      </c>
      <c r="C224" s="191" t="n">
        <f aca="false">C72</f>
        <v>0</v>
      </c>
      <c r="D224" s="191" t="n">
        <f aca="false">D72</f>
        <v>512</v>
      </c>
      <c r="E224" s="191" t="n">
        <f aca="false">E72</f>
        <v>0</v>
      </c>
      <c r="F224" s="212" t="s">
        <v>86</v>
      </c>
      <c r="G224" s="212" t="s">
        <v>86</v>
      </c>
      <c r="H224" s="213" t="n">
        <f aca="false">'8.EQUIPAM'!H254*'0.DADES'!$D$77</f>
        <v>0</v>
      </c>
      <c r="I224" s="213" t="n">
        <f aca="false">'8.EQUIPAM'!I254*'0.DADES'!$D$77</f>
        <v>0</v>
      </c>
      <c r="J224" s="213" t="n">
        <f aca="false">'8.EQUIPAM'!J254*'0.DADES'!$D$77</f>
        <v>0</v>
      </c>
      <c r="K224" s="213" t="n">
        <f aca="false">'8.EQUIPAM'!K254*'0.DADES'!$D$77</f>
        <v>0</v>
      </c>
      <c r="L224" s="213" t="n">
        <f aca="false">'8.EQUIPAM'!L254*'0.DADES'!$D$77</f>
        <v>0</v>
      </c>
      <c r="M224" s="213" t="n">
        <f aca="false">'8.EQUIPAM'!M254*'0.DADES'!$D$77</f>
        <v>0</v>
      </c>
      <c r="N224" s="204"/>
      <c r="O224" s="204"/>
      <c r="P224" s="204"/>
      <c r="Q224" s="204"/>
      <c r="R224" s="204"/>
      <c r="S224" s="204"/>
    </row>
    <row r="225" customFormat="false" ht="13.5" hidden="false" customHeight="false" outlineLevel="0" collapsed="false">
      <c r="A225" s="191" t="str">
        <f aca="false">A73</f>
        <v>Teatre municipal</v>
      </c>
      <c r="B225" s="191" t="str">
        <f aca="false">B73</f>
        <v>Sociocultural</v>
      </c>
      <c r="C225" s="191" t="n">
        <f aca="false">C73</f>
        <v>0</v>
      </c>
      <c r="D225" s="191" t="n">
        <f aca="false">D73</f>
        <v>837</v>
      </c>
      <c r="E225" s="191" t="n">
        <f aca="false">E73</f>
        <v>0</v>
      </c>
      <c r="F225" s="212" t="s">
        <v>86</v>
      </c>
      <c r="G225" s="212" t="s">
        <v>86</v>
      </c>
      <c r="H225" s="213" t="n">
        <f aca="false">'8.EQUIPAM'!H255*'0.DADES'!$D$77</f>
        <v>0</v>
      </c>
      <c r="I225" s="213" t="n">
        <f aca="false">'8.EQUIPAM'!I255*'0.DADES'!$D$77</f>
        <v>0</v>
      </c>
      <c r="J225" s="213" t="n">
        <f aca="false">'8.EQUIPAM'!J255*'0.DADES'!$D$77</f>
        <v>0</v>
      </c>
      <c r="K225" s="213" t="n">
        <f aca="false">'8.EQUIPAM'!K255*'0.DADES'!$D$77</f>
        <v>0</v>
      </c>
      <c r="L225" s="213" t="n">
        <f aca="false">'8.EQUIPAM'!L255*'0.DADES'!$D$77</f>
        <v>0</v>
      </c>
      <c r="M225" s="213" t="n">
        <f aca="false">'8.EQUIPAM'!M255*'0.DADES'!$D$77</f>
        <v>0</v>
      </c>
      <c r="N225" s="204"/>
      <c r="O225" s="204"/>
      <c r="P225" s="204"/>
      <c r="Q225" s="204"/>
      <c r="R225" s="204"/>
      <c r="S225" s="204"/>
    </row>
    <row r="226" customFormat="false" ht="13.5" hidden="false" customHeight="false" outlineLevel="0" collapsed="false">
      <c r="A226" s="191" t="str">
        <f aca="false">A74</f>
        <v>Escoleta municipal</v>
      </c>
      <c r="B226" s="191" t="str">
        <f aca="false">B74</f>
        <v>Educatiu</v>
      </c>
      <c r="C226" s="191" t="n">
        <f aca="false">C74</f>
        <v>0</v>
      </c>
      <c r="D226" s="191" t="n">
        <f aca="false">D74</f>
        <v>2393</v>
      </c>
      <c r="E226" s="191" t="n">
        <f aca="false">E74</f>
        <v>0</v>
      </c>
      <c r="F226" s="212" t="s">
        <v>86</v>
      </c>
      <c r="G226" s="212" t="s">
        <v>86</v>
      </c>
      <c r="H226" s="213" t="n">
        <f aca="false">'8.EQUIPAM'!H256*'0.DADES'!$D$77</f>
        <v>0</v>
      </c>
      <c r="I226" s="213" t="n">
        <f aca="false">'8.EQUIPAM'!I256*'0.DADES'!$D$77</f>
        <v>0</v>
      </c>
      <c r="J226" s="213" t="n">
        <f aca="false">'8.EQUIPAM'!J256*'0.DADES'!$D$77</f>
        <v>0</v>
      </c>
      <c r="K226" s="213" t="n">
        <f aca="false">'8.EQUIPAM'!K256*'0.DADES'!$D$77</f>
        <v>0</v>
      </c>
      <c r="L226" s="213" t="n">
        <f aca="false">'8.EQUIPAM'!L256*'0.DADES'!$D$77</f>
        <v>0</v>
      </c>
      <c r="M226" s="213" t="n">
        <f aca="false">'8.EQUIPAM'!M256*'0.DADES'!$D$77</f>
        <v>0</v>
      </c>
      <c r="N226" s="204"/>
      <c r="O226" s="204"/>
      <c r="P226" s="204"/>
      <c r="Q226" s="204"/>
      <c r="R226" s="204"/>
      <c r="S226" s="204"/>
    </row>
    <row r="227" customFormat="false" ht="13.5" hidden="false" customHeight="false" outlineLevel="0" collapsed="false">
      <c r="A227" s="191" t="str">
        <f aca="false">A75</f>
        <v>Residencial</v>
      </c>
      <c r="B227" s="191" t="str">
        <f aca="false">B75</f>
        <v>Altres</v>
      </c>
      <c r="C227" s="191" t="n">
        <f aca="false">C75</f>
        <v>0</v>
      </c>
      <c r="D227" s="191" t="n">
        <f aca="false">D75</f>
        <v>144</v>
      </c>
      <c r="E227" s="191" t="n">
        <f aca="false">E75</f>
        <v>0</v>
      </c>
      <c r="F227" s="212" t="s">
        <v>86</v>
      </c>
      <c r="G227" s="212" t="s">
        <v>86</v>
      </c>
      <c r="H227" s="213" t="n">
        <f aca="false">'8.EQUIPAM'!H257*'0.DADES'!$D$77</f>
        <v>0</v>
      </c>
      <c r="I227" s="213" t="n">
        <f aca="false">'8.EQUIPAM'!I257*'0.DADES'!$D$77</f>
        <v>0</v>
      </c>
      <c r="J227" s="213" t="n">
        <f aca="false">'8.EQUIPAM'!J257*'0.DADES'!$D$77</f>
        <v>0</v>
      </c>
      <c r="K227" s="213" t="n">
        <f aca="false">'8.EQUIPAM'!K257*'0.DADES'!$D$77</f>
        <v>0</v>
      </c>
      <c r="L227" s="213" t="n">
        <f aca="false">'8.EQUIPAM'!L257*'0.DADES'!$D$77</f>
        <v>0</v>
      </c>
      <c r="M227" s="213" t="n">
        <f aca="false">'8.EQUIPAM'!M257*'0.DADES'!$D$77</f>
        <v>0</v>
      </c>
      <c r="N227" s="204"/>
      <c r="O227" s="204"/>
      <c r="P227" s="204"/>
      <c r="Q227" s="204"/>
      <c r="R227" s="204"/>
      <c r="S227" s="204"/>
    </row>
    <row r="228" customFormat="false" ht="13.5" hidden="false" customHeight="false" outlineLevel="0" collapsed="false">
      <c r="A228" s="191" t="str">
        <f aca="false">A76</f>
        <v>Camp municipal s'Arracó</v>
      </c>
      <c r="B228" s="191" t="str">
        <f aca="false">B76</f>
        <v>Esportiu amb piscina</v>
      </c>
      <c r="C228" s="191" t="str">
        <f aca="false">C76</f>
        <v>si</v>
      </c>
      <c r="D228" s="191" t="n">
        <f aca="false">D76</f>
        <v>5488</v>
      </c>
      <c r="E228" s="191" t="n">
        <f aca="false">E76</f>
        <v>50</v>
      </c>
      <c r="F228" s="212" t="s">
        <v>86</v>
      </c>
      <c r="G228" s="212" t="s">
        <v>86</v>
      </c>
      <c r="H228" s="213" t="n">
        <f aca="false">'8.EQUIPAM'!H258*'0.DADES'!$D$77</f>
        <v>19709.3023255814</v>
      </c>
      <c r="I228" s="213" t="n">
        <f aca="false">'8.EQUIPAM'!I258*'0.DADES'!$D$77</f>
        <v>19709.3023255814</v>
      </c>
      <c r="J228" s="213" t="n">
        <f aca="false">'8.EQUIPAM'!J258*'0.DADES'!$D$77</f>
        <v>19709.3023255814</v>
      </c>
      <c r="K228" s="213" t="n">
        <f aca="false">'8.EQUIPAM'!K258*'0.DADES'!$D$77</f>
        <v>19709.3023255814</v>
      </c>
      <c r="L228" s="213" t="n">
        <f aca="false">'8.EQUIPAM'!L258*'0.DADES'!$D$77</f>
        <v>19709.3023255814</v>
      </c>
      <c r="M228" s="213" t="n">
        <f aca="false">'8.EQUIPAM'!M258*'0.DADES'!$D$77</f>
        <v>19709.3023255814</v>
      </c>
      <c r="N228" s="204"/>
      <c r="O228" s="204"/>
      <c r="P228" s="204"/>
      <c r="Q228" s="204"/>
      <c r="R228" s="204"/>
      <c r="S228" s="204"/>
      <c r="T228" s="184" t="s">
        <v>384</v>
      </c>
      <c r="U228" s="184" t="s">
        <v>384</v>
      </c>
      <c r="V228" s="184" t="s">
        <v>384</v>
      </c>
      <c r="W228" s="184" t="s">
        <v>384</v>
      </c>
      <c r="X228" s="184" t="s">
        <v>384</v>
      </c>
      <c r="Z228" s="184" t="s">
        <v>381</v>
      </c>
      <c r="AA228" s="184" t="s">
        <v>381</v>
      </c>
      <c r="AB228" s="184" t="s">
        <v>381</v>
      </c>
      <c r="AC228" s="184" t="s">
        <v>381</v>
      </c>
      <c r="AD228" s="184" t="s">
        <v>381</v>
      </c>
      <c r="AE228" s="215" t="s">
        <v>385</v>
      </c>
      <c r="AF228" s="215" t="s">
        <v>386</v>
      </c>
      <c r="AG228" s="215" t="s">
        <v>387</v>
      </c>
      <c r="AH228" s="215" t="s">
        <v>388</v>
      </c>
      <c r="AI228" s="215" t="s">
        <v>389</v>
      </c>
      <c r="AJ228" s="215" t="s">
        <v>390</v>
      </c>
    </row>
    <row r="229" customFormat="false" ht="13.5" hidden="false" customHeight="false" outlineLevel="0" collapsed="false">
      <c r="A229" s="191" t="str">
        <f aca="false">A77</f>
        <v>local comercial</v>
      </c>
      <c r="B229" s="191" t="str">
        <f aca="false">B77</f>
        <v>Altres</v>
      </c>
      <c r="C229" s="191" t="n">
        <f aca="false">C77</f>
        <v>0</v>
      </c>
      <c r="D229" s="191" t="n">
        <f aca="false">D77</f>
        <v>53</v>
      </c>
      <c r="E229" s="191" t="n">
        <f aca="false">E77</f>
        <v>0</v>
      </c>
      <c r="F229" s="212" t="s">
        <v>86</v>
      </c>
      <c r="G229" s="212" t="s">
        <v>86</v>
      </c>
      <c r="H229" s="213" t="n">
        <f aca="false">'8.EQUIPAM'!H259*'0.DADES'!$D$77</f>
        <v>0</v>
      </c>
      <c r="I229" s="213" t="n">
        <f aca="false">'8.EQUIPAM'!I259*'0.DADES'!$D$77</f>
        <v>0</v>
      </c>
      <c r="J229" s="213" t="n">
        <f aca="false">'8.EQUIPAM'!J259*'0.DADES'!$D$77</f>
        <v>0</v>
      </c>
      <c r="K229" s="213" t="n">
        <f aca="false">'8.EQUIPAM'!K259*'0.DADES'!$D$77</f>
        <v>0</v>
      </c>
      <c r="L229" s="213" t="n">
        <f aca="false">'8.EQUIPAM'!L259*'0.DADES'!$D$77</f>
        <v>0</v>
      </c>
      <c r="M229" s="213" t="n">
        <f aca="false">'8.EQUIPAM'!M259*'0.DADES'!$D$77</f>
        <v>0</v>
      </c>
      <c r="N229" s="204"/>
      <c r="O229" s="204"/>
      <c r="P229" s="204"/>
      <c r="Q229" s="204"/>
      <c r="R229" s="204"/>
      <c r="S229" s="204"/>
    </row>
    <row r="230" customFormat="false" ht="13.5" hidden="false" customHeight="false" outlineLevel="0" collapsed="false">
      <c r="A230" s="191" t="str">
        <f aca="false">A78</f>
        <v>Casa cultural i assistencial</v>
      </c>
      <c r="B230" s="191" t="str">
        <f aca="false">B78</f>
        <v>Sociocultural</v>
      </c>
      <c r="C230" s="191" t="n">
        <f aca="false">C78</f>
        <v>0</v>
      </c>
      <c r="D230" s="191" t="n">
        <f aca="false">D78</f>
        <v>348</v>
      </c>
      <c r="E230" s="191" t="n">
        <f aca="false">E78</f>
        <v>0</v>
      </c>
      <c r="F230" s="212" t="s">
        <v>86</v>
      </c>
      <c r="G230" s="212" t="s">
        <v>86</v>
      </c>
      <c r="H230" s="213" t="n">
        <f aca="false">'8.EQUIPAM'!H260*'0.DADES'!$D$77</f>
        <v>0</v>
      </c>
      <c r="I230" s="213" t="n">
        <f aca="false">'8.EQUIPAM'!I260*'0.DADES'!$D$77</f>
        <v>0</v>
      </c>
      <c r="J230" s="213" t="n">
        <f aca="false">'8.EQUIPAM'!J260*'0.DADES'!$D$77</f>
        <v>0</v>
      </c>
      <c r="K230" s="213" t="n">
        <f aca="false">'8.EQUIPAM'!K260*'0.DADES'!$D$77</f>
        <v>0</v>
      </c>
      <c r="L230" s="213" t="n">
        <f aca="false">'8.EQUIPAM'!L260*'0.DADES'!$D$77</f>
        <v>0</v>
      </c>
      <c r="M230" s="213" t="n">
        <f aca="false">'8.EQUIPAM'!M260*'0.DADES'!$D$77</f>
        <v>0</v>
      </c>
      <c r="N230" s="204"/>
      <c r="O230" s="204"/>
      <c r="P230" s="204"/>
      <c r="Q230" s="204"/>
      <c r="R230" s="204"/>
      <c r="S230" s="204"/>
    </row>
    <row r="231" customFormat="false" ht="13.5" hidden="false" customHeight="false" outlineLevel="0" collapsed="false">
      <c r="A231" s="191" t="str">
        <f aca="false">A79</f>
        <v>Centre de salut</v>
      </c>
      <c r="B231" s="191" t="str">
        <f aca="false">B79</f>
        <v>Sociocultural</v>
      </c>
      <c r="C231" s="191" t="n">
        <f aca="false">C79</f>
        <v>0</v>
      </c>
      <c r="D231" s="191" t="n">
        <f aca="false">D79</f>
        <v>727</v>
      </c>
      <c r="E231" s="191" t="n">
        <f aca="false">E79</f>
        <v>0</v>
      </c>
      <c r="F231" s="212" t="s">
        <v>86</v>
      </c>
      <c r="G231" s="212" t="s">
        <v>86</v>
      </c>
      <c r="H231" s="213" t="n">
        <f aca="false">'8.EQUIPAM'!H261*'0.DADES'!$D$77</f>
        <v>0</v>
      </c>
      <c r="I231" s="213" t="n">
        <f aca="false">'8.EQUIPAM'!I261*'0.DADES'!$D$77</f>
        <v>0</v>
      </c>
      <c r="J231" s="213" t="n">
        <f aca="false">'8.EQUIPAM'!J261*'0.DADES'!$D$77</f>
        <v>0</v>
      </c>
      <c r="K231" s="213" t="n">
        <f aca="false">'8.EQUIPAM'!K261*'0.DADES'!$D$77</f>
        <v>0</v>
      </c>
      <c r="L231" s="213" t="n">
        <f aca="false">'8.EQUIPAM'!L261*'0.DADES'!$D$77</f>
        <v>0</v>
      </c>
      <c r="M231" s="213" t="n">
        <f aca="false">'8.EQUIPAM'!M261*'0.DADES'!$D$77</f>
        <v>0</v>
      </c>
      <c r="N231" s="204"/>
      <c r="O231" s="204"/>
      <c r="P231" s="204"/>
      <c r="Q231" s="204"/>
      <c r="R231" s="204"/>
      <c r="S231" s="204"/>
    </row>
    <row r="232" customFormat="false" ht="13.5" hidden="false" customHeight="false" outlineLevel="0" collapsed="false">
      <c r="A232" s="191" t="str">
        <f aca="false">A80</f>
        <v>Institut Baltasar Porcel</v>
      </c>
      <c r="B232" s="191" t="str">
        <f aca="false">B80</f>
        <v>Educatiu</v>
      </c>
      <c r="C232" s="191" t="n">
        <f aca="false">C80</f>
        <v>0</v>
      </c>
      <c r="D232" s="191" t="n">
        <f aca="false">D80</f>
        <v>5361</v>
      </c>
      <c r="E232" s="191" t="n">
        <f aca="false">E80</f>
        <v>0</v>
      </c>
      <c r="F232" s="212" t="s">
        <v>86</v>
      </c>
      <c r="G232" s="212" t="s">
        <v>86</v>
      </c>
      <c r="H232" s="213" t="n">
        <f aca="false">'8.EQUIPAM'!H262*'0.DADES'!$D$77</f>
        <v>0</v>
      </c>
      <c r="I232" s="213" t="n">
        <f aca="false">'8.EQUIPAM'!I262*'0.DADES'!$D$77</f>
        <v>0</v>
      </c>
      <c r="J232" s="213" t="n">
        <f aca="false">'8.EQUIPAM'!J262*'0.DADES'!$D$77</f>
        <v>0</v>
      </c>
      <c r="K232" s="213" t="n">
        <f aca="false">'8.EQUIPAM'!K262*'0.DADES'!$D$77</f>
        <v>0</v>
      </c>
      <c r="L232" s="213" t="n">
        <f aca="false">'8.EQUIPAM'!L262*'0.DADES'!$D$77</f>
        <v>0</v>
      </c>
      <c r="M232" s="213" t="n">
        <f aca="false">'8.EQUIPAM'!M262*'0.DADES'!$D$77</f>
        <v>0</v>
      </c>
      <c r="N232" s="204"/>
      <c r="O232" s="204"/>
      <c r="P232" s="204"/>
      <c r="Q232" s="204"/>
      <c r="R232" s="204"/>
      <c r="S232" s="204"/>
    </row>
    <row r="233" customFormat="false" ht="13.5" hidden="false" customHeight="false" outlineLevel="0" collapsed="false">
      <c r="A233" s="191" t="str">
        <f aca="false">A81</f>
        <v>Escola Ses Bassetes</v>
      </c>
      <c r="B233" s="191" t="str">
        <f aca="false">B81</f>
        <v>Educatiu</v>
      </c>
      <c r="C233" s="191" t="n">
        <f aca="false">C81</f>
        <v>0</v>
      </c>
      <c r="D233" s="191" t="n">
        <f aca="false">D81</f>
        <v>238</v>
      </c>
      <c r="E233" s="191" t="n">
        <f aca="false">E81</f>
        <v>0</v>
      </c>
      <c r="F233" s="212" t="s">
        <v>86</v>
      </c>
      <c r="G233" s="212" t="s">
        <v>86</v>
      </c>
      <c r="H233" s="213" t="n">
        <f aca="false">'8.EQUIPAM'!H263*'0.DADES'!$D$77</f>
        <v>0</v>
      </c>
      <c r="I233" s="213" t="n">
        <f aca="false">'8.EQUIPAM'!I263*'0.DADES'!$D$77</f>
        <v>0</v>
      </c>
      <c r="J233" s="213" t="n">
        <f aca="false">'8.EQUIPAM'!J263*'0.DADES'!$D$77</f>
        <v>0</v>
      </c>
      <c r="K233" s="213" t="n">
        <f aca="false">'8.EQUIPAM'!K263*'0.DADES'!$D$77</f>
        <v>0</v>
      </c>
      <c r="L233" s="213" t="n">
        <f aca="false">'8.EQUIPAM'!L263*'0.DADES'!$D$77</f>
        <v>0</v>
      </c>
      <c r="M233" s="213" t="n">
        <f aca="false">'8.EQUIPAM'!M263*'0.DADES'!$D$77</f>
        <v>0</v>
      </c>
      <c r="N233" s="204"/>
      <c r="O233" s="204"/>
      <c r="P233" s="204"/>
      <c r="Q233" s="204"/>
      <c r="R233" s="204"/>
      <c r="S233" s="204"/>
    </row>
    <row r="234" customFormat="false" ht="13.5" hidden="false" customHeight="false" outlineLevel="0" collapsed="false">
      <c r="A234" s="191" t="str">
        <f aca="false">A82</f>
        <v>Escola Ses Bassetes</v>
      </c>
      <c r="B234" s="191" t="str">
        <f aca="false">B82</f>
        <v>Educatiu</v>
      </c>
      <c r="C234" s="191" t="n">
        <f aca="false">C82</f>
        <v>0</v>
      </c>
      <c r="D234" s="191" t="n">
        <f aca="false">D82</f>
        <v>238</v>
      </c>
      <c r="E234" s="191" t="n">
        <f aca="false">E82</f>
        <v>0</v>
      </c>
      <c r="F234" s="212" t="s">
        <v>86</v>
      </c>
      <c r="G234" s="212" t="s">
        <v>86</v>
      </c>
      <c r="H234" s="213" t="n">
        <f aca="false">'8.EQUIPAM'!H264*'0.DADES'!$D$77</f>
        <v>0</v>
      </c>
      <c r="I234" s="213" t="n">
        <f aca="false">'8.EQUIPAM'!I264*'0.DADES'!$D$77</f>
        <v>0</v>
      </c>
      <c r="J234" s="213" t="n">
        <f aca="false">'8.EQUIPAM'!J264*'0.DADES'!$D$77</f>
        <v>0</v>
      </c>
      <c r="K234" s="213" t="n">
        <f aca="false">'8.EQUIPAM'!K264*'0.DADES'!$D$77</f>
        <v>0</v>
      </c>
      <c r="L234" s="213" t="n">
        <f aca="false">'8.EQUIPAM'!L264*'0.DADES'!$D$77</f>
        <v>0</v>
      </c>
      <c r="M234" s="213" t="n">
        <f aca="false">'8.EQUIPAM'!M264*'0.DADES'!$D$77</f>
        <v>0</v>
      </c>
      <c r="N234" s="204"/>
      <c r="O234" s="204"/>
      <c r="P234" s="204"/>
      <c r="Q234" s="204"/>
      <c r="R234" s="204"/>
      <c r="S234" s="204"/>
    </row>
    <row r="235" customFormat="false" ht="13.5" hidden="false" customHeight="false" outlineLevel="0" collapsed="false">
      <c r="A235" s="191" t="str">
        <f aca="false">A83</f>
        <v>Local gent gran</v>
      </c>
      <c r="B235" s="191" t="str">
        <f aca="false">B83</f>
        <v>Sociocultural</v>
      </c>
      <c r="C235" s="191" t="n">
        <f aca="false">C83</f>
        <v>0</v>
      </c>
      <c r="D235" s="191" t="n">
        <f aca="false">D83</f>
        <v>936</v>
      </c>
      <c r="E235" s="191" t="n">
        <f aca="false">E83</f>
        <v>0</v>
      </c>
      <c r="F235" s="212" t="s">
        <v>86</v>
      </c>
      <c r="G235" s="212" t="s">
        <v>86</v>
      </c>
      <c r="H235" s="213" t="n">
        <f aca="false">'8.EQUIPAM'!H265*'0.DADES'!$D$77</f>
        <v>0</v>
      </c>
      <c r="I235" s="213" t="n">
        <f aca="false">'8.EQUIPAM'!I265*'0.DADES'!$D$77</f>
        <v>0</v>
      </c>
      <c r="J235" s="213" t="n">
        <f aca="false">'8.EQUIPAM'!J265*'0.DADES'!$D$77</f>
        <v>0</v>
      </c>
      <c r="K235" s="213" t="n">
        <f aca="false">'8.EQUIPAM'!K265*'0.DADES'!$D$77</f>
        <v>0</v>
      </c>
      <c r="L235" s="213" t="n">
        <f aca="false">'8.EQUIPAM'!L265*'0.DADES'!$D$77</f>
        <v>0</v>
      </c>
      <c r="M235" s="213" t="n">
        <f aca="false">'8.EQUIPAM'!M265*'0.DADES'!$D$77</f>
        <v>0</v>
      </c>
      <c r="N235" s="204"/>
      <c r="O235" s="204"/>
      <c r="P235" s="204"/>
      <c r="Q235" s="204"/>
      <c r="R235" s="204"/>
      <c r="S235" s="204"/>
    </row>
    <row r="236" customFormat="false" ht="13.5" hidden="false" customHeight="false" outlineLevel="0" collapsed="false">
      <c r="A236" s="191" t="n">
        <f aca="false">A84</f>
        <v>0</v>
      </c>
      <c r="B236" s="191" t="n">
        <f aca="false">B84</f>
        <v>0</v>
      </c>
      <c r="C236" s="191" t="n">
        <f aca="false">C84</f>
        <v>0</v>
      </c>
      <c r="D236" s="191" t="n">
        <f aca="false">D84</f>
        <v>0</v>
      </c>
      <c r="E236" s="191" t="n">
        <f aca="false">E84</f>
        <v>0</v>
      </c>
      <c r="F236" s="212" t="s">
        <v>86</v>
      </c>
      <c r="G236" s="212" t="s">
        <v>86</v>
      </c>
      <c r="H236" s="213" t="n">
        <f aca="false">'8.EQUIPAM'!H266*'0.DADES'!$D$77</f>
        <v>0</v>
      </c>
      <c r="I236" s="213" t="n">
        <f aca="false">'8.EQUIPAM'!I266*'0.DADES'!$D$77</f>
        <v>0</v>
      </c>
      <c r="J236" s="213" t="n">
        <f aca="false">'8.EQUIPAM'!J266*'0.DADES'!$D$77</f>
        <v>0</v>
      </c>
      <c r="K236" s="213" t="n">
        <f aca="false">'8.EQUIPAM'!K266*'0.DADES'!$D$77</f>
        <v>0</v>
      </c>
      <c r="L236" s="213" t="n">
        <f aca="false">'8.EQUIPAM'!L266*'0.DADES'!$D$77</f>
        <v>0</v>
      </c>
      <c r="M236" s="213" t="n">
        <f aca="false">'8.EQUIPAM'!M266*'0.DADES'!$D$77</f>
        <v>0</v>
      </c>
      <c r="N236" s="204"/>
      <c r="O236" s="204"/>
      <c r="P236" s="204"/>
      <c r="Q236" s="204"/>
      <c r="R236" s="204"/>
      <c r="S236" s="204"/>
    </row>
    <row r="237" customFormat="false" ht="13.5" hidden="false" customHeight="false" outlineLevel="0" collapsed="false">
      <c r="F237" s="209" t="s">
        <v>272</v>
      </c>
      <c r="G237" s="209"/>
      <c r="H237" s="192" t="n">
        <f aca="false">SUM(H211:H236)</f>
        <v>172469.534883721</v>
      </c>
      <c r="I237" s="192" t="n">
        <f aca="false">SUM(I211:I236)</f>
        <v>172469.534883721</v>
      </c>
      <c r="J237" s="192" t="n">
        <f aca="false">SUM(J211:J236)</f>
        <v>172469.534883721</v>
      </c>
      <c r="K237" s="192" t="n">
        <f aca="false">SUM(K211:K236)</f>
        <v>172469.534883721</v>
      </c>
      <c r="L237" s="192" t="n">
        <f aca="false">SUM(L211:L236)</f>
        <v>172469.534883721</v>
      </c>
      <c r="M237" s="192" t="n">
        <f aca="false">SUM(M211:M236)</f>
        <v>172469.534883721</v>
      </c>
      <c r="N237" s="192" t="n">
        <f aca="false">SUM(N211:N236)</f>
        <v>0</v>
      </c>
      <c r="O237" s="192" t="n">
        <f aca="false">SUM(O211:O236)</f>
        <v>0</v>
      </c>
      <c r="P237" s="192" t="n">
        <f aca="false">SUM(P211:P236)</f>
        <v>0</v>
      </c>
      <c r="Q237" s="192" t="n">
        <f aca="false">SUM(Q211:Q236)</f>
        <v>0</v>
      </c>
      <c r="R237" s="192" t="n">
        <f aca="false">SUM(R211:R236)</f>
        <v>0</v>
      </c>
      <c r="S237" s="192" t="n">
        <f aca="false">SUM(S211:S236)</f>
        <v>0</v>
      </c>
    </row>
    <row r="239" customFormat="false" ht="13.5" hidden="false" customHeight="false" outlineLevel="0" collapsed="false">
      <c r="A239" s="194"/>
      <c r="H239" s="182" t="s">
        <v>393</v>
      </c>
      <c r="I239" s="182"/>
      <c r="J239" s="182"/>
      <c r="K239" s="182"/>
      <c r="L239" s="182"/>
      <c r="M239" s="182"/>
    </row>
    <row r="240" customFormat="false" ht="13.5" hidden="false" customHeight="false" outlineLevel="0" collapsed="false">
      <c r="A240" s="182" t="s">
        <v>315</v>
      </c>
      <c r="B240" s="182" t="s">
        <v>324</v>
      </c>
      <c r="C240" s="182" t="s">
        <v>325</v>
      </c>
      <c r="D240" s="182" t="s">
        <v>326</v>
      </c>
      <c r="E240" s="182" t="s">
        <v>327</v>
      </c>
      <c r="F240" s="182" t="s">
        <v>328</v>
      </c>
      <c r="G240" s="182" t="s">
        <v>329</v>
      </c>
      <c r="H240" s="182" t="n">
        <f aca="false">H179</f>
        <v>2005</v>
      </c>
      <c r="I240" s="182" t="n">
        <f aca="false">I179</f>
        <v>2006</v>
      </c>
      <c r="J240" s="182" t="n">
        <f aca="false">J179</f>
        <v>2007</v>
      </c>
      <c r="K240" s="182" t="n">
        <f aca="false">K179</f>
        <v>2008</v>
      </c>
      <c r="L240" s="182" t="n">
        <f aca="false">L179</f>
        <v>2009</v>
      </c>
      <c r="M240" s="182" t="n">
        <f aca="false">M179</f>
        <v>2010</v>
      </c>
    </row>
    <row r="241" customFormat="false" ht="13.5" hidden="false" customHeight="false" outlineLevel="0" collapsed="false">
      <c r="A241" s="191" t="str">
        <f aca="false">A59</f>
        <v>Ajuntament Andratx</v>
      </c>
      <c r="B241" s="191" t="str">
        <f aca="false">B59</f>
        <v>Administratiu</v>
      </c>
      <c r="C241" s="191" t="str">
        <f aca="false">C59</f>
        <v>si</v>
      </c>
      <c r="D241" s="191" t="n">
        <f aca="false">D59</f>
        <v>3636</v>
      </c>
      <c r="E241" s="191" t="n">
        <f aca="false">E59</f>
        <v>220</v>
      </c>
      <c r="F241" s="212" t="s">
        <v>86</v>
      </c>
      <c r="G241" s="212" t="s">
        <v>86</v>
      </c>
      <c r="H241" s="204" t="n">
        <v>0</v>
      </c>
      <c r="I241" s="204" t="n">
        <v>0</v>
      </c>
      <c r="J241" s="204" t="n">
        <v>0</v>
      </c>
      <c r="K241" s="204" t="n">
        <v>0</v>
      </c>
      <c r="L241" s="204" t="n">
        <v>0</v>
      </c>
      <c r="M241" s="204" t="n">
        <v>0</v>
      </c>
    </row>
    <row r="242" customFormat="false" ht="13.5" hidden="false" customHeight="false" outlineLevel="0" collapsed="false">
      <c r="A242" s="191" t="str">
        <f aca="false">A60</f>
        <v>Poliesportiu municipal Es vinyet</v>
      </c>
      <c r="B242" s="191" t="str">
        <f aca="false">B60</f>
        <v>Esportiu sense piscina</v>
      </c>
      <c r="C242" s="191" t="n">
        <f aca="false">C60</f>
        <v>0</v>
      </c>
      <c r="D242" s="191" t="n">
        <f aca="false">D60</f>
        <v>0</v>
      </c>
      <c r="E242" s="191" t="n">
        <f aca="false">E60</f>
        <v>0</v>
      </c>
      <c r="F242" s="212" t="s">
        <v>86</v>
      </c>
      <c r="G242" s="212" t="s">
        <v>86</v>
      </c>
      <c r="H242" s="204" t="n">
        <v>6000</v>
      </c>
      <c r="I242" s="204" t="n">
        <v>6000</v>
      </c>
      <c r="J242" s="204" t="n">
        <v>6000</v>
      </c>
      <c r="K242" s="204" t="n">
        <v>6000</v>
      </c>
      <c r="L242" s="204" t="n">
        <v>6000</v>
      </c>
      <c r="M242" s="204" t="n">
        <v>6000</v>
      </c>
    </row>
    <row r="243" customFormat="false" ht="13.5" hidden="false" customHeight="false" outlineLevel="0" collapsed="false">
      <c r="A243" s="191" t="str">
        <f aca="false">A61</f>
        <v>Camp municipal Sa Plana</v>
      </c>
      <c r="B243" s="191" t="str">
        <f aca="false">B61</f>
        <v>Esportiu sense piscina</v>
      </c>
      <c r="C243" s="191" t="str">
        <f aca="false">C61</f>
        <v>si</v>
      </c>
      <c r="D243" s="191" t="n">
        <f aca="false">D61</f>
        <v>7543</v>
      </c>
      <c r="E243" s="191" t="n">
        <f aca="false">E61</f>
        <v>50</v>
      </c>
      <c r="F243" s="212" t="s">
        <v>86</v>
      </c>
      <c r="G243" s="212" t="s">
        <v>86</v>
      </c>
      <c r="H243" s="204" t="n">
        <v>2900</v>
      </c>
      <c r="I243" s="204" t="n">
        <v>2900</v>
      </c>
      <c r="J243" s="204" t="n">
        <v>2900</v>
      </c>
      <c r="K243" s="204" t="n">
        <v>2900</v>
      </c>
      <c r="L243" s="204" t="n">
        <v>2900</v>
      </c>
      <c r="M243" s="204" t="n">
        <v>2900</v>
      </c>
    </row>
    <row r="244" customFormat="false" ht="13.5" hidden="false" customHeight="false" outlineLevel="0" collapsed="false">
      <c r="A244" s="191" t="str">
        <f aca="false">A62</f>
        <v>Cementiri s'Arracó</v>
      </c>
      <c r="B244" s="191" t="str">
        <f aca="false">B62</f>
        <v>Sociocultural</v>
      </c>
      <c r="C244" s="191" t="n">
        <f aca="false">C62</f>
        <v>0</v>
      </c>
      <c r="D244" s="191" t="n">
        <f aca="false">D62</f>
        <v>0</v>
      </c>
      <c r="E244" s="191" t="n">
        <f aca="false">E62</f>
        <v>0</v>
      </c>
      <c r="F244" s="212" t="s">
        <v>86</v>
      </c>
      <c r="G244" s="212" t="s">
        <v>86</v>
      </c>
      <c r="H244" s="204" t="n">
        <v>0</v>
      </c>
      <c r="I244" s="204" t="n">
        <v>0</v>
      </c>
      <c r="J244" s="204" t="n">
        <v>0</v>
      </c>
      <c r="K244" s="204" t="n">
        <v>0</v>
      </c>
      <c r="L244" s="204" t="n">
        <v>0</v>
      </c>
      <c r="M244" s="204" t="n">
        <v>0</v>
      </c>
    </row>
    <row r="245" customFormat="false" ht="13.5" hidden="false" customHeight="false" outlineLevel="0" collapsed="false">
      <c r="A245" s="191" t="str">
        <f aca="false">A63</f>
        <v>Col·legi</v>
      </c>
      <c r="B245" s="191" t="str">
        <f aca="false">B63</f>
        <v>Educatiu</v>
      </c>
      <c r="C245" s="191" t="n">
        <f aca="false">C63</f>
        <v>0</v>
      </c>
      <c r="D245" s="191" t="n">
        <f aca="false">D63</f>
        <v>0</v>
      </c>
      <c r="E245" s="191" t="n">
        <f aca="false">E63</f>
        <v>0</v>
      </c>
      <c r="F245" s="212" t="s">
        <v>86</v>
      </c>
      <c r="G245" s="212" t="s">
        <v>86</v>
      </c>
      <c r="H245" s="204" t="n">
        <v>0</v>
      </c>
      <c r="I245" s="204" t="n">
        <v>0</v>
      </c>
      <c r="J245" s="204" t="n">
        <v>0</v>
      </c>
      <c r="K245" s="204" t="n">
        <v>0</v>
      </c>
      <c r="L245" s="204" t="n">
        <v>0</v>
      </c>
      <c r="M245" s="204" t="n">
        <v>0</v>
      </c>
    </row>
    <row r="246" customFormat="false" ht="13.5" hidden="false" customHeight="false" outlineLevel="0" collapsed="false">
      <c r="A246" s="191" t="str">
        <f aca="false">A64</f>
        <v>Palau d'esports</v>
      </c>
      <c r="B246" s="191" t="str">
        <f aca="false">B64</f>
        <v>Esportiu amb piscina</v>
      </c>
      <c r="C246" s="191" t="str">
        <f aca="false">C64</f>
        <v>si</v>
      </c>
      <c r="D246" s="191" t="n">
        <f aca="false">D64</f>
        <v>5676</v>
      </c>
      <c r="E246" s="191" t="n">
        <f aca="false">E64</f>
        <v>300</v>
      </c>
      <c r="F246" s="212" t="s">
        <v>86</v>
      </c>
      <c r="G246" s="212" t="s">
        <v>86</v>
      </c>
      <c r="H246" s="204" t="n">
        <v>2726</v>
      </c>
      <c r="I246" s="204" t="n">
        <v>2726</v>
      </c>
      <c r="J246" s="204" t="n">
        <v>2726</v>
      </c>
      <c r="K246" s="204" t="n">
        <v>2726</v>
      </c>
      <c r="L246" s="204" t="n">
        <v>2726</v>
      </c>
      <c r="M246" s="204" t="n">
        <v>2726</v>
      </c>
    </row>
    <row r="247" customFormat="false" ht="13.5" hidden="false" customHeight="false" outlineLevel="0" collapsed="false">
      <c r="A247" s="191" t="str">
        <f aca="false">A65</f>
        <v>Escola de música</v>
      </c>
      <c r="B247" s="191" t="str">
        <f aca="false">B65</f>
        <v>Educatiu</v>
      </c>
      <c r="C247" s="191" t="n">
        <f aca="false">C65</f>
        <v>0</v>
      </c>
      <c r="D247" s="191" t="n">
        <f aca="false">D65</f>
        <v>469</v>
      </c>
      <c r="E247" s="191" t="n">
        <f aca="false">E65</f>
        <v>0</v>
      </c>
      <c r="F247" s="212" t="s">
        <v>86</v>
      </c>
      <c r="G247" s="212" t="s">
        <v>86</v>
      </c>
      <c r="H247" s="204" t="n">
        <v>0</v>
      </c>
      <c r="I247" s="204" t="n">
        <v>0</v>
      </c>
      <c r="J247" s="204" t="n">
        <v>0</v>
      </c>
      <c r="K247" s="204" t="n">
        <v>0</v>
      </c>
      <c r="L247" s="204" t="n">
        <v>0</v>
      </c>
      <c r="M247" s="204" t="n">
        <v>0</v>
      </c>
    </row>
    <row r="248" customFormat="false" ht="13.5" hidden="false" customHeight="false" outlineLevel="0" collapsed="false">
      <c r="A248" s="191" t="str">
        <f aca="false">A66</f>
        <v>Cementeri municipal Andratx</v>
      </c>
      <c r="B248" s="191" t="str">
        <f aca="false">B66</f>
        <v>Sociocultural</v>
      </c>
      <c r="C248" s="191" t="n">
        <f aca="false">C66</f>
        <v>0</v>
      </c>
      <c r="D248" s="191" t="n">
        <f aca="false">D66</f>
        <v>2949</v>
      </c>
      <c r="E248" s="191" t="n">
        <f aca="false">E66</f>
        <v>0</v>
      </c>
      <c r="F248" s="212" t="s">
        <v>86</v>
      </c>
      <c r="G248" s="212" t="s">
        <v>86</v>
      </c>
      <c r="H248" s="204" t="n">
        <v>0</v>
      </c>
      <c r="I248" s="204" t="n">
        <v>0</v>
      </c>
      <c r="J248" s="204" t="n">
        <v>0</v>
      </c>
      <c r="K248" s="204" t="n">
        <v>0</v>
      </c>
      <c r="L248" s="204" t="n">
        <v>0</v>
      </c>
      <c r="M248" s="204" t="n">
        <v>0</v>
      </c>
    </row>
    <row r="249" customFormat="false" ht="13.5" hidden="false" customHeight="false" outlineLevel="0" collapsed="false">
      <c r="A249" s="191" t="str">
        <f aca="false">A67</f>
        <v>Parc verd</v>
      </c>
      <c r="B249" s="191" t="str">
        <f aca="false">B67</f>
        <v>Sociocultural</v>
      </c>
      <c r="C249" s="191" t="n">
        <f aca="false">C67</f>
        <v>0</v>
      </c>
      <c r="D249" s="191" t="n">
        <f aca="false">D67</f>
        <v>444</v>
      </c>
      <c r="E249" s="191" t="n">
        <f aca="false">E67</f>
        <v>0</v>
      </c>
      <c r="F249" s="212" t="s">
        <v>86</v>
      </c>
      <c r="G249" s="212" t="s">
        <v>86</v>
      </c>
      <c r="H249" s="204" t="n">
        <v>0</v>
      </c>
      <c r="I249" s="204" t="n">
        <v>0</v>
      </c>
      <c r="J249" s="204" t="n">
        <v>0</v>
      </c>
      <c r="K249" s="204" t="n">
        <v>0</v>
      </c>
      <c r="L249" s="204" t="n">
        <v>0</v>
      </c>
      <c r="M249" s="204" t="n">
        <v>0</v>
      </c>
    </row>
    <row r="250" customFormat="false" ht="13.5" hidden="false" customHeight="false" outlineLevel="0" collapsed="false">
      <c r="A250" s="191" t="str">
        <f aca="false">A68</f>
        <v>Biblioteca </v>
      </c>
      <c r="B250" s="191" t="str">
        <f aca="false">B68</f>
        <v>Sociocultural</v>
      </c>
      <c r="C250" s="191" t="str">
        <f aca="false">C68</f>
        <v>si</v>
      </c>
      <c r="D250" s="191" t="n">
        <f aca="false">D68</f>
        <v>683</v>
      </c>
      <c r="E250" s="191" t="n">
        <f aca="false">E68</f>
        <v>53</v>
      </c>
      <c r="F250" s="212" t="s">
        <v>86</v>
      </c>
      <c r="G250" s="212" t="s">
        <v>86</v>
      </c>
      <c r="H250" s="204" t="n">
        <v>0</v>
      </c>
      <c r="I250" s="204" t="n">
        <v>0</v>
      </c>
      <c r="J250" s="204" t="n">
        <v>0</v>
      </c>
      <c r="K250" s="204" t="n">
        <v>0</v>
      </c>
      <c r="L250" s="204" t="n">
        <v>0</v>
      </c>
      <c r="M250" s="204" t="n">
        <v>0</v>
      </c>
    </row>
    <row r="251" customFormat="false" ht="13.5" hidden="false" customHeight="false" outlineLevel="0" collapsed="false">
      <c r="A251" s="191" t="str">
        <f aca="false">A69</f>
        <v>Local cultural</v>
      </c>
      <c r="B251" s="191" t="str">
        <f aca="false">B69</f>
        <v>Sociocultural</v>
      </c>
      <c r="C251" s="191" t="n">
        <f aca="false">C69</f>
        <v>0</v>
      </c>
      <c r="D251" s="191" t="n">
        <f aca="false">D69</f>
        <v>938</v>
      </c>
      <c r="E251" s="191" t="n">
        <f aca="false">E69</f>
        <v>0</v>
      </c>
      <c r="F251" s="212" t="s">
        <v>86</v>
      </c>
      <c r="G251" s="212" t="s">
        <v>86</v>
      </c>
      <c r="H251" s="204" t="n">
        <v>0</v>
      </c>
      <c r="I251" s="204" t="n">
        <v>0</v>
      </c>
      <c r="J251" s="204" t="n">
        <v>0</v>
      </c>
      <c r="K251" s="204" t="n">
        <v>0</v>
      </c>
      <c r="L251" s="204" t="n">
        <v>0</v>
      </c>
      <c r="M251" s="204" t="n">
        <v>0</v>
      </c>
    </row>
    <row r="252" customFormat="false" ht="13.5" hidden="false" customHeight="false" outlineLevel="0" collapsed="false">
      <c r="A252" s="191" t="str">
        <f aca="false">A70</f>
        <v>Centre de dia</v>
      </c>
      <c r="B252" s="191" t="str">
        <f aca="false">B70</f>
        <v>Sociocultural</v>
      </c>
      <c r="C252" s="191" t="n">
        <f aca="false">C70</f>
        <v>0</v>
      </c>
      <c r="D252" s="191" t="n">
        <f aca="false">D70</f>
        <v>621</v>
      </c>
      <c r="E252" s="191" t="n">
        <f aca="false">E70</f>
        <v>0</v>
      </c>
      <c r="F252" s="212" t="s">
        <v>86</v>
      </c>
      <c r="G252" s="212" t="s">
        <v>86</v>
      </c>
      <c r="H252" s="204" t="n">
        <v>0</v>
      </c>
      <c r="I252" s="204" t="n">
        <v>0</v>
      </c>
      <c r="J252" s="204" t="n">
        <v>0</v>
      </c>
      <c r="K252" s="204" t="n">
        <v>0</v>
      </c>
      <c r="L252" s="204" t="n">
        <v>0</v>
      </c>
      <c r="M252" s="204" t="n">
        <v>0</v>
      </c>
    </row>
    <row r="253" customFormat="false" ht="13.5" hidden="false" customHeight="false" outlineLevel="0" collapsed="false">
      <c r="A253" s="191" t="str">
        <f aca="false">A71</f>
        <v>Oficines</v>
      </c>
      <c r="B253" s="191" t="str">
        <f aca="false">B71</f>
        <v>Administratiu</v>
      </c>
      <c r="C253" s="191" t="n">
        <f aca="false">C71</f>
        <v>0</v>
      </c>
      <c r="D253" s="191" t="n">
        <f aca="false">D71</f>
        <v>368</v>
      </c>
      <c r="E253" s="191" t="n">
        <f aca="false">E71</f>
        <v>0</v>
      </c>
      <c r="F253" s="212" t="s">
        <v>86</v>
      </c>
      <c r="G253" s="212" t="s">
        <v>86</v>
      </c>
      <c r="H253" s="204" t="n">
        <v>0</v>
      </c>
      <c r="I253" s="204" t="n">
        <v>0</v>
      </c>
      <c r="J253" s="204" t="n">
        <v>0</v>
      </c>
      <c r="K253" s="204" t="n">
        <v>0</v>
      </c>
      <c r="L253" s="204" t="n">
        <v>0</v>
      </c>
      <c r="M253" s="204" t="n">
        <v>0</v>
      </c>
    </row>
    <row r="254" customFormat="false" ht="13.5" hidden="false" customHeight="false" outlineLevel="0" collapsed="false">
      <c r="A254" s="191" t="str">
        <f aca="false">A72</f>
        <v>Cultural</v>
      </c>
      <c r="B254" s="191" t="str">
        <f aca="false">B72</f>
        <v>Sociocultural</v>
      </c>
      <c r="C254" s="191" t="n">
        <f aca="false">C72</f>
        <v>0</v>
      </c>
      <c r="D254" s="191" t="n">
        <f aca="false">D72</f>
        <v>512</v>
      </c>
      <c r="E254" s="191" t="n">
        <f aca="false">E72</f>
        <v>0</v>
      </c>
      <c r="F254" s="212" t="s">
        <v>86</v>
      </c>
      <c r="G254" s="212" t="s">
        <v>86</v>
      </c>
      <c r="H254" s="204" t="n">
        <v>0</v>
      </c>
      <c r="I254" s="204" t="n">
        <v>0</v>
      </c>
      <c r="J254" s="204" t="n">
        <v>0</v>
      </c>
      <c r="K254" s="204" t="n">
        <v>0</v>
      </c>
      <c r="L254" s="204" t="n">
        <v>0</v>
      </c>
      <c r="M254" s="204" t="n">
        <v>0</v>
      </c>
    </row>
    <row r="255" customFormat="false" ht="13.5" hidden="false" customHeight="false" outlineLevel="0" collapsed="false">
      <c r="A255" s="191" t="str">
        <f aca="false">A73</f>
        <v>Teatre municipal</v>
      </c>
      <c r="B255" s="191" t="str">
        <f aca="false">B73</f>
        <v>Sociocultural</v>
      </c>
      <c r="C255" s="191" t="n">
        <f aca="false">C73</f>
        <v>0</v>
      </c>
      <c r="D255" s="191" t="n">
        <f aca="false">D73</f>
        <v>837</v>
      </c>
      <c r="E255" s="191" t="n">
        <f aca="false">E73</f>
        <v>0</v>
      </c>
      <c r="F255" s="212" t="s">
        <v>86</v>
      </c>
      <c r="G255" s="212" t="s">
        <v>86</v>
      </c>
      <c r="H255" s="204" t="n">
        <v>0</v>
      </c>
      <c r="I255" s="204" t="n">
        <v>0</v>
      </c>
      <c r="J255" s="204" t="n">
        <v>0</v>
      </c>
      <c r="K255" s="204" t="n">
        <v>0</v>
      </c>
      <c r="L255" s="204" t="n">
        <v>0</v>
      </c>
      <c r="M255" s="204" t="n">
        <v>0</v>
      </c>
    </row>
    <row r="256" customFormat="false" ht="13.5" hidden="false" customHeight="false" outlineLevel="0" collapsed="false">
      <c r="A256" s="191" t="str">
        <f aca="false">A74</f>
        <v>Escoleta municipal</v>
      </c>
      <c r="B256" s="191" t="str">
        <f aca="false">B74</f>
        <v>Educatiu</v>
      </c>
      <c r="C256" s="191" t="n">
        <f aca="false">C74</f>
        <v>0</v>
      </c>
      <c r="D256" s="191" t="n">
        <f aca="false">D74</f>
        <v>2393</v>
      </c>
      <c r="E256" s="191" t="n">
        <f aca="false">E74</f>
        <v>0</v>
      </c>
      <c r="F256" s="212" t="s">
        <v>86</v>
      </c>
      <c r="G256" s="212" t="s">
        <v>86</v>
      </c>
      <c r="H256" s="204" t="n">
        <v>0</v>
      </c>
      <c r="I256" s="204" t="n">
        <v>0</v>
      </c>
      <c r="J256" s="204" t="n">
        <v>0</v>
      </c>
      <c r="K256" s="204" t="n">
        <v>0</v>
      </c>
      <c r="L256" s="204" t="n">
        <v>0</v>
      </c>
      <c r="M256" s="204" t="n">
        <v>0</v>
      </c>
    </row>
    <row r="257" customFormat="false" ht="13.5" hidden="false" customHeight="false" outlineLevel="0" collapsed="false">
      <c r="A257" s="191" t="str">
        <f aca="false">A75</f>
        <v>Residencial</v>
      </c>
      <c r="B257" s="191" t="str">
        <f aca="false">B75</f>
        <v>Altres</v>
      </c>
      <c r="C257" s="191" t="n">
        <f aca="false">C75</f>
        <v>0</v>
      </c>
      <c r="D257" s="191" t="n">
        <f aca="false">D75</f>
        <v>144</v>
      </c>
      <c r="E257" s="191" t="n">
        <f aca="false">E75</f>
        <v>0</v>
      </c>
      <c r="F257" s="212" t="s">
        <v>86</v>
      </c>
      <c r="G257" s="212" t="s">
        <v>86</v>
      </c>
      <c r="H257" s="204" t="n">
        <v>0</v>
      </c>
      <c r="I257" s="204" t="n">
        <v>0</v>
      </c>
      <c r="J257" s="204" t="n">
        <v>0</v>
      </c>
      <c r="K257" s="204" t="n">
        <v>0</v>
      </c>
      <c r="L257" s="204" t="n">
        <v>0</v>
      </c>
      <c r="M257" s="204" t="n">
        <v>0</v>
      </c>
    </row>
    <row r="258" customFormat="false" ht="13.5" hidden="false" customHeight="false" outlineLevel="0" collapsed="false">
      <c r="A258" s="191" t="str">
        <f aca="false">A76</f>
        <v>Camp municipal s'Arracó</v>
      </c>
      <c r="B258" s="191" t="str">
        <f aca="false">B76</f>
        <v>Esportiu amb piscina</v>
      </c>
      <c r="C258" s="191" t="str">
        <f aca="false">C76</f>
        <v>si</v>
      </c>
      <c r="D258" s="191" t="n">
        <f aca="false">D76</f>
        <v>5488</v>
      </c>
      <c r="E258" s="191" t="n">
        <f aca="false">E76</f>
        <v>50</v>
      </c>
      <c r="F258" s="212" t="s">
        <v>86</v>
      </c>
      <c r="G258" s="212" t="s">
        <v>86</v>
      </c>
      <c r="H258" s="204" t="n">
        <v>1500</v>
      </c>
      <c r="I258" s="204" t="n">
        <v>1500</v>
      </c>
      <c r="J258" s="204" t="n">
        <v>1500</v>
      </c>
      <c r="K258" s="204" t="n">
        <v>1500</v>
      </c>
      <c r="L258" s="204" t="n">
        <v>1500</v>
      </c>
      <c r="M258" s="204" t="n">
        <v>1500</v>
      </c>
    </row>
    <row r="259" customFormat="false" ht="13.5" hidden="false" customHeight="false" outlineLevel="0" collapsed="false">
      <c r="A259" s="191" t="str">
        <f aca="false">A77</f>
        <v>local comercial</v>
      </c>
      <c r="B259" s="191" t="str">
        <f aca="false">B77</f>
        <v>Altres</v>
      </c>
      <c r="C259" s="191" t="n">
        <f aca="false">C77</f>
        <v>0</v>
      </c>
      <c r="D259" s="191" t="n">
        <f aca="false">D77</f>
        <v>53</v>
      </c>
      <c r="E259" s="191" t="n">
        <f aca="false">E77</f>
        <v>0</v>
      </c>
      <c r="F259" s="212" t="s">
        <v>86</v>
      </c>
      <c r="G259" s="212" t="s">
        <v>86</v>
      </c>
      <c r="H259" s="204" t="n">
        <v>0</v>
      </c>
      <c r="I259" s="204" t="n">
        <v>0</v>
      </c>
      <c r="J259" s="204" t="n">
        <v>0</v>
      </c>
      <c r="K259" s="204" t="n">
        <v>0</v>
      </c>
      <c r="L259" s="204" t="n">
        <v>0</v>
      </c>
      <c r="M259" s="204" t="n">
        <v>0</v>
      </c>
    </row>
    <row r="260" customFormat="false" ht="13.5" hidden="false" customHeight="false" outlineLevel="0" collapsed="false">
      <c r="A260" s="191" t="str">
        <f aca="false">A78</f>
        <v>Casa cultural i assistencial</v>
      </c>
      <c r="B260" s="191" t="str">
        <f aca="false">B78</f>
        <v>Sociocultural</v>
      </c>
      <c r="C260" s="191" t="n">
        <f aca="false">C78</f>
        <v>0</v>
      </c>
      <c r="D260" s="191" t="n">
        <f aca="false">D78</f>
        <v>348</v>
      </c>
      <c r="E260" s="191" t="n">
        <f aca="false">E78</f>
        <v>0</v>
      </c>
      <c r="F260" s="212" t="s">
        <v>86</v>
      </c>
      <c r="G260" s="212" t="s">
        <v>86</v>
      </c>
      <c r="H260" s="204" t="n">
        <v>0</v>
      </c>
      <c r="I260" s="204" t="n">
        <v>0</v>
      </c>
      <c r="J260" s="204" t="n">
        <v>0</v>
      </c>
      <c r="K260" s="204" t="n">
        <v>0</v>
      </c>
      <c r="L260" s="204" t="n">
        <v>0</v>
      </c>
      <c r="M260" s="204" t="n">
        <v>0</v>
      </c>
    </row>
    <row r="261" customFormat="false" ht="13.5" hidden="false" customHeight="false" outlineLevel="0" collapsed="false">
      <c r="A261" s="191" t="str">
        <f aca="false">A79</f>
        <v>Centre de salut</v>
      </c>
      <c r="B261" s="191" t="str">
        <f aca="false">B79</f>
        <v>Sociocultural</v>
      </c>
      <c r="C261" s="191" t="n">
        <f aca="false">C79</f>
        <v>0</v>
      </c>
      <c r="D261" s="191" t="n">
        <f aca="false">D79</f>
        <v>727</v>
      </c>
      <c r="E261" s="191" t="n">
        <f aca="false">E79</f>
        <v>0</v>
      </c>
      <c r="F261" s="212" t="s">
        <v>86</v>
      </c>
      <c r="G261" s="212" t="s">
        <v>86</v>
      </c>
      <c r="H261" s="204" t="n">
        <v>0</v>
      </c>
      <c r="I261" s="204" t="n">
        <v>0</v>
      </c>
      <c r="J261" s="204" t="n">
        <v>0</v>
      </c>
      <c r="K261" s="204" t="n">
        <v>0</v>
      </c>
      <c r="L261" s="204" t="n">
        <v>0</v>
      </c>
      <c r="M261" s="204" t="n">
        <v>0</v>
      </c>
    </row>
    <row r="262" customFormat="false" ht="13.5" hidden="false" customHeight="false" outlineLevel="0" collapsed="false">
      <c r="A262" s="191" t="str">
        <f aca="false">A80</f>
        <v>Institut Baltasar Porcel</v>
      </c>
      <c r="B262" s="191" t="str">
        <f aca="false">B80</f>
        <v>Educatiu</v>
      </c>
      <c r="C262" s="191" t="n">
        <f aca="false">C80</f>
        <v>0</v>
      </c>
      <c r="D262" s="191" t="n">
        <f aca="false">D80</f>
        <v>5361</v>
      </c>
      <c r="E262" s="191" t="n">
        <f aca="false">E80</f>
        <v>0</v>
      </c>
      <c r="F262" s="212" t="s">
        <v>86</v>
      </c>
      <c r="G262" s="212" t="s">
        <v>86</v>
      </c>
      <c r="H262" s="204" t="n">
        <v>0</v>
      </c>
      <c r="I262" s="204" t="n">
        <v>0</v>
      </c>
      <c r="J262" s="204" t="n">
        <v>0</v>
      </c>
      <c r="K262" s="204" t="n">
        <v>0</v>
      </c>
      <c r="L262" s="204" t="n">
        <v>0</v>
      </c>
      <c r="M262" s="204" t="n">
        <v>0</v>
      </c>
    </row>
    <row r="263" customFormat="false" ht="13.5" hidden="false" customHeight="false" outlineLevel="0" collapsed="false">
      <c r="A263" s="191" t="str">
        <f aca="false">A81</f>
        <v>Escola Ses Bassetes</v>
      </c>
      <c r="B263" s="191" t="str">
        <f aca="false">B81</f>
        <v>Educatiu</v>
      </c>
      <c r="C263" s="191" t="n">
        <f aca="false">C81</f>
        <v>0</v>
      </c>
      <c r="D263" s="191" t="n">
        <f aca="false">D81</f>
        <v>238</v>
      </c>
      <c r="E263" s="191" t="n">
        <f aca="false">E81</f>
        <v>0</v>
      </c>
      <c r="F263" s="212" t="s">
        <v>86</v>
      </c>
      <c r="G263" s="212" t="s">
        <v>86</v>
      </c>
      <c r="H263" s="204" t="n">
        <v>0</v>
      </c>
      <c r="I263" s="204" t="n">
        <v>0</v>
      </c>
      <c r="J263" s="204" t="n">
        <v>0</v>
      </c>
      <c r="K263" s="204" t="n">
        <v>0</v>
      </c>
      <c r="L263" s="204" t="n">
        <v>0</v>
      </c>
      <c r="M263" s="204" t="n">
        <v>0</v>
      </c>
    </row>
    <row r="264" customFormat="false" ht="13.5" hidden="false" customHeight="false" outlineLevel="0" collapsed="false">
      <c r="A264" s="191" t="str">
        <f aca="false">A82</f>
        <v>Escola Ses Bassetes</v>
      </c>
      <c r="B264" s="191" t="str">
        <f aca="false">B82</f>
        <v>Educatiu</v>
      </c>
      <c r="C264" s="191" t="n">
        <f aca="false">C82</f>
        <v>0</v>
      </c>
      <c r="D264" s="191" t="n">
        <f aca="false">D82</f>
        <v>238</v>
      </c>
      <c r="E264" s="191" t="n">
        <f aca="false">E82</f>
        <v>0</v>
      </c>
      <c r="F264" s="212" t="s">
        <v>86</v>
      </c>
      <c r="G264" s="212" t="s">
        <v>86</v>
      </c>
      <c r="H264" s="204" t="n">
        <v>0</v>
      </c>
      <c r="I264" s="204" t="n">
        <v>0</v>
      </c>
      <c r="J264" s="204" t="n">
        <v>0</v>
      </c>
      <c r="K264" s="204" t="n">
        <v>0</v>
      </c>
      <c r="L264" s="204" t="n">
        <v>0</v>
      </c>
      <c r="M264" s="204" t="n">
        <v>0</v>
      </c>
    </row>
    <row r="265" customFormat="false" ht="13.5" hidden="false" customHeight="false" outlineLevel="0" collapsed="false">
      <c r="A265" s="191" t="str">
        <f aca="false">A83</f>
        <v>Local gent gran</v>
      </c>
      <c r="B265" s="191" t="str">
        <f aca="false">B83</f>
        <v>Sociocultural</v>
      </c>
      <c r="C265" s="191" t="n">
        <f aca="false">C83</f>
        <v>0</v>
      </c>
      <c r="D265" s="191" t="n">
        <f aca="false">D83</f>
        <v>936</v>
      </c>
      <c r="E265" s="191" t="n">
        <f aca="false">E83</f>
        <v>0</v>
      </c>
      <c r="F265" s="212" t="s">
        <v>86</v>
      </c>
      <c r="G265" s="212" t="s">
        <v>86</v>
      </c>
      <c r="H265" s="204" t="n">
        <v>0</v>
      </c>
      <c r="I265" s="204" t="n">
        <v>0</v>
      </c>
      <c r="J265" s="204" t="n">
        <v>0</v>
      </c>
      <c r="K265" s="204" t="n">
        <v>0</v>
      </c>
      <c r="L265" s="204" t="n">
        <v>0</v>
      </c>
      <c r="M265" s="204" t="n">
        <v>0</v>
      </c>
    </row>
    <row r="266" customFormat="false" ht="13.5" hidden="false" customHeight="false" outlineLevel="0" collapsed="false">
      <c r="A266" s="191" t="n">
        <f aca="false">A84</f>
        <v>0</v>
      </c>
      <c r="B266" s="191" t="n">
        <f aca="false">B84</f>
        <v>0</v>
      </c>
      <c r="C266" s="191" t="n">
        <f aca="false">C84</f>
        <v>0</v>
      </c>
      <c r="D266" s="191" t="n">
        <f aca="false">D84</f>
        <v>0</v>
      </c>
      <c r="E266" s="191" t="n">
        <f aca="false">E84</f>
        <v>0</v>
      </c>
      <c r="F266" s="212" t="s">
        <v>86</v>
      </c>
      <c r="G266" s="212" t="s">
        <v>86</v>
      </c>
      <c r="H266" s="204" t="n">
        <v>0</v>
      </c>
      <c r="I266" s="204" t="n">
        <v>0</v>
      </c>
      <c r="J266" s="204" t="n">
        <v>0</v>
      </c>
      <c r="K266" s="204" t="n">
        <v>0</v>
      </c>
      <c r="L266" s="204" t="n">
        <v>0</v>
      </c>
      <c r="M266" s="204" t="n">
        <v>0</v>
      </c>
    </row>
    <row r="267" customFormat="false" ht="13.5" hidden="false" customHeight="false" outlineLevel="0" collapsed="false">
      <c r="F267" s="209" t="s">
        <v>272</v>
      </c>
      <c r="G267" s="209"/>
      <c r="H267" s="192" t="n">
        <f aca="false">SUM(H241:H266)</f>
        <v>13126</v>
      </c>
      <c r="I267" s="192" t="n">
        <f aca="false">SUM(I241:I266)</f>
        <v>13126</v>
      </c>
      <c r="J267" s="192" t="n">
        <f aca="false">SUM(J241:J266)</f>
        <v>13126</v>
      </c>
      <c r="K267" s="192" t="n">
        <f aca="false">SUM(K241:K266)</f>
        <v>13126</v>
      </c>
      <c r="L267" s="192" t="n">
        <f aca="false">SUM(L241:L266)</f>
        <v>13126</v>
      </c>
      <c r="M267" s="192" t="n">
        <f aca="false">SUM(M241:M266)</f>
        <v>13126</v>
      </c>
    </row>
    <row r="269" customFormat="false" ht="13.5" hidden="false" customHeight="false" outlineLevel="0" collapsed="false">
      <c r="A269" s="182" t="s">
        <v>394</v>
      </c>
      <c r="B269" s="182" t="s">
        <v>324</v>
      </c>
      <c r="C269" s="182" t="s">
        <v>325</v>
      </c>
      <c r="D269" s="182" t="s">
        <v>326</v>
      </c>
      <c r="E269" s="182" t="s">
        <v>327</v>
      </c>
      <c r="F269" s="182" t="s">
        <v>328</v>
      </c>
      <c r="G269" s="182" t="s">
        <v>329</v>
      </c>
      <c r="H269" s="182" t="n">
        <v>2005</v>
      </c>
      <c r="I269" s="182" t="n">
        <v>2006</v>
      </c>
      <c r="J269" s="182" t="n">
        <v>2007</v>
      </c>
      <c r="K269" s="182" t="n">
        <v>2008</v>
      </c>
      <c r="L269" s="182" t="n">
        <v>2009</v>
      </c>
      <c r="M269" s="182" t="n">
        <v>2010</v>
      </c>
    </row>
    <row r="270" customFormat="false" ht="13.5" hidden="false" customHeight="false" outlineLevel="0" collapsed="false">
      <c r="A270" s="216" t="s">
        <v>304</v>
      </c>
      <c r="B270" s="216"/>
      <c r="C270" s="216"/>
      <c r="D270" s="216"/>
      <c r="E270" s="216"/>
      <c r="F270" s="216"/>
      <c r="G270" s="216"/>
      <c r="H270" s="217" t="n">
        <f aca="false">+SUMIF($B$59:$B$84,"ADMINISTRATIU",$H$59:$H$84)</f>
        <v>271308</v>
      </c>
      <c r="I270" s="217" t="n">
        <f aca="false">+SUMIF($B$59:$B$84,"ADMINISTRATIU",$I$59:$I$84)</f>
        <v>333631</v>
      </c>
      <c r="J270" s="217" t="n">
        <f aca="false">+SUMIF($B$59:$B$84,"ADMINISTRATIU",$J$59:$J$84)</f>
        <v>373511</v>
      </c>
      <c r="K270" s="217" t="n">
        <f aca="false">+SUMIF($B$59:$B$84,"ADMINISTRATIU",$K$59:$K$84)</f>
        <v>340182</v>
      </c>
      <c r="L270" s="217" t="n">
        <f aca="false">+SUMIF($B$59:$B$84,"ADMINISTRATIU",$L$59:$L$84)</f>
        <v>342314</v>
      </c>
      <c r="M270" s="217" t="n">
        <f aca="false">+SUMIF($B$59:$B$84,"ADMINISTRATIU",$M$59:$M$84)</f>
        <v>289718</v>
      </c>
    </row>
    <row r="271" customFormat="false" ht="13.5" hidden="false" customHeight="false" outlineLevel="0" collapsed="false">
      <c r="A271" s="216" t="s">
        <v>305</v>
      </c>
      <c r="B271" s="216"/>
      <c r="C271" s="216"/>
      <c r="D271" s="216"/>
      <c r="E271" s="216"/>
      <c r="F271" s="216"/>
      <c r="G271" s="216"/>
      <c r="H271" s="217" t="n">
        <f aca="false">+SUMIF($B$59:$B$84,"EDUCATIU",$H$59:$H$84)</f>
        <v>275540</v>
      </c>
      <c r="I271" s="217" t="n">
        <f aca="false">+SUMIF($B$59:$B$84,"EDUCATIU",$I$59:$I$84)</f>
        <v>271310</v>
      </c>
      <c r="J271" s="217" t="n">
        <f aca="false">+SUMIF($B$59:$B$84,"EDUCATIU",$J$59:$J$84)</f>
        <v>242696</v>
      </c>
      <c r="K271" s="217" t="n">
        <f aca="false">+SUMIF($B$59:$B$84,"EDUCATIU",$K$59:$K$84)</f>
        <v>258345</v>
      </c>
      <c r="L271" s="217" t="n">
        <f aca="false">+SUMIF($B$59:$B$84,"EDUCATIU",$L$59:$L$84)</f>
        <v>298786</v>
      </c>
      <c r="M271" s="217" t="n">
        <f aca="false">+SUMIF($B$59:$B$84,"EDUCATIU",$M$59:$M$84)</f>
        <v>279960</v>
      </c>
    </row>
    <row r="272" customFormat="false" ht="13.5" hidden="false" customHeight="false" outlineLevel="0" collapsed="false">
      <c r="A272" s="216" t="s">
        <v>306</v>
      </c>
      <c r="B272" s="216"/>
      <c r="C272" s="216"/>
      <c r="D272" s="216"/>
      <c r="E272" s="216"/>
      <c r="F272" s="216"/>
      <c r="G272" s="216"/>
      <c r="H272" s="217" t="n">
        <f aca="false">+SUMIF($B$59:$B$84,"ESPORTIU AMB PISCINA",$H$59:$H$84)</f>
        <v>462034</v>
      </c>
      <c r="I272" s="217" t="n">
        <f aca="false">+SUMIF($B$59:$B$84,"ESPORTIU AMB PISCINA",$I$59:$I$84)</f>
        <v>412678</v>
      </c>
      <c r="J272" s="217" t="n">
        <f aca="false">+SUMIF($B$59:$B$84,"ESPORTIU AMB PISCINA",$J$59:$J$84)</f>
        <v>424238</v>
      </c>
      <c r="K272" s="217" t="n">
        <f aca="false">+SUMIF($B$59:$B$84,"ESPORTIU AMB PISCINA",$K$59:$K$84)</f>
        <v>399717</v>
      </c>
      <c r="L272" s="217" t="n">
        <f aca="false">+SUMIF($B$59:$B$84,"ESPORTIU AMB PISCINA",$L$59:$L$84)</f>
        <v>343353</v>
      </c>
      <c r="M272" s="217" t="n">
        <f aca="false">+SUMIF($B$59:$B$84,"ESPORTIU AMB PISCINA",$M$59:$M$84)</f>
        <v>371713</v>
      </c>
    </row>
    <row r="273" customFormat="false" ht="13.5" hidden="false" customHeight="false" outlineLevel="0" collapsed="false">
      <c r="A273" s="216" t="s">
        <v>307</v>
      </c>
      <c r="B273" s="216"/>
      <c r="C273" s="216"/>
      <c r="D273" s="216"/>
      <c r="E273" s="216"/>
      <c r="F273" s="216"/>
      <c r="G273" s="216"/>
      <c r="H273" s="217" t="n">
        <f aca="false">+SUMIF($B$59:$B$84,"ESPORTIU SENSE PISCINA",$H$59:$H$84)</f>
        <v>139916</v>
      </c>
      <c r="I273" s="217" t="n">
        <f aca="false">+SUMIF($B$59:$B$84,"ESPORTIU SENSE PISCINA",$I$59:$I$84)</f>
        <v>105624</v>
      </c>
      <c r="J273" s="217" t="n">
        <f aca="false">+SUMIF($B$59:$B84,"ESPORTIU SENSE PISCINA",$J$59:$J$84)</f>
        <v>122732</v>
      </c>
      <c r="K273" s="217" t="n">
        <f aca="false">+SUMIF($B$59:$B$84,"ESPORTIU SENSE PISCINA",$K$59:$K$84)</f>
        <v>100881</v>
      </c>
      <c r="L273" s="217" t="n">
        <f aca="false">+SUMIF($B$59:$B$84,"ESPORTIU SENSE PISCINA",$L$59:$L$84)</f>
        <v>87509</v>
      </c>
      <c r="M273" s="217" t="n">
        <f aca="false">+SUMIF($B$59:$B$84,"ESPORTIU SENSE PISCINA",$M$59:$M$84)</f>
        <v>83056</v>
      </c>
    </row>
    <row r="274" customFormat="false" ht="13.5" hidden="false" customHeight="false" outlineLevel="0" collapsed="false">
      <c r="A274" s="216" t="s">
        <v>311</v>
      </c>
      <c r="B274" s="216"/>
      <c r="C274" s="216"/>
      <c r="D274" s="216"/>
      <c r="E274" s="216"/>
      <c r="F274" s="216"/>
      <c r="G274" s="216"/>
      <c r="H274" s="217" t="n">
        <f aca="false">+SUMIF($B$59:$B$84,"SOCIOCULTURAL",$H$59:$H$84)</f>
        <v>274335</v>
      </c>
      <c r="I274" s="217" t="n">
        <f aca="false">+SUMIF($B$59:$B$84,"SOCIOCULTURAL",$I$59:$I$84)</f>
        <v>213267</v>
      </c>
      <c r="J274" s="217" t="n">
        <f aca="false">+SUMIF($B$59:$B$84,"SOCIOCULTURAL",$J$59:$J$84)</f>
        <v>179272</v>
      </c>
      <c r="K274" s="217" t="n">
        <f aca="false">+SUMIF($B$59:$B$84,"SOCIOCULTURAL",$K$59:$K$84)</f>
        <v>276945</v>
      </c>
      <c r="L274" s="217" t="n">
        <f aca="false">+SUMIF($B$59:$B$84,"SOCIOCULTURAL",$L$59:$L$84)</f>
        <v>232019</v>
      </c>
      <c r="M274" s="217" t="n">
        <f aca="false">+SUMIF($B$59:$B$84,"SOCIOCULTURAL",$M$59:$M$84)</f>
        <v>226003</v>
      </c>
    </row>
    <row r="275" customFormat="false" ht="13.5" hidden="false" customHeight="false" outlineLevel="0" collapsed="false">
      <c r="A275" s="216" t="s">
        <v>247</v>
      </c>
      <c r="B275" s="216"/>
      <c r="C275" s="216"/>
      <c r="D275" s="216"/>
      <c r="E275" s="216"/>
      <c r="F275" s="216"/>
      <c r="G275" s="216"/>
      <c r="H275" s="217" t="n">
        <f aca="false">+SUMIF($B$59:$B$84,"ALTRES",$H$59:$H$84)</f>
        <v>124255</v>
      </c>
      <c r="I275" s="217" t="n">
        <f aca="false">+SUMIF($B$59:$B$84,"ALTRES",$I$59:$I$84)</f>
        <v>97546</v>
      </c>
      <c r="J275" s="217" t="n">
        <f aca="false">+SUMIF($B$59:$B$84,"ALTRES",$J$59:$J$84)</f>
        <v>140932</v>
      </c>
      <c r="K275" s="217" t="n">
        <f aca="false">+SUMIF($B$59:$B$84,"ALTRES",$K$59:$K$84)</f>
        <v>97817</v>
      </c>
      <c r="L275" s="217" t="n">
        <f aca="false">+SUMIF($B$59:$B$84,"ALTRES",$L$59:$L$84)</f>
        <v>115515</v>
      </c>
      <c r="M275" s="217" t="n">
        <f aca="false">+SUMIF($B$59:$B$84,"ALTRES",$M$59:$M$84)</f>
        <v>100491</v>
      </c>
    </row>
    <row r="276" customFormat="false" ht="13.5" hidden="false" customHeight="false" outlineLevel="0" collapsed="false">
      <c r="A276" s="218" t="s">
        <v>395</v>
      </c>
      <c r="B276" s="218"/>
      <c r="C276" s="218"/>
      <c r="D276" s="218"/>
      <c r="E276" s="218"/>
      <c r="F276" s="218"/>
      <c r="G276" s="218"/>
      <c r="H276" s="219" t="n">
        <f aca="false">SUM(H270:H275)</f>
        <v>1547388</v>
      </c>
      <c r="I276" s="219" t="n">
        <f aca="false">SUM(I270:I275)</f>
        <v>1434056</v>
      </c>
      <c r="J276" s="219" t="n">
        <f aca="false">SUM(J270:J275)</f>
        <v>1483381</v>
      </c>
      <c r="K276" s="219" t="n">
        <f aca="false">SUM(K270:K275)</f>
        <v>1473887</v>
      </c>
      <c r="L276" s="219" t="n">
        <f aca="false">SUM(L270:L275)</f>
        <v>1419496</v>
      </c>
      <c r="M276" s="219" t="n">
        <f aca="false">SUM(M270:M275)</f>
        <v>1350941</v>
      </c>
    </row>
    <row r="277" customFormat="false" ht="13.5" hidden="false" customHeight="false" outlineLevel="0" collapsed="false">
      <c r="A277" s="182" t="s">
        <v>233</v>
      </c>
      <c r="B277" s="182" t="s">
        <v>324</v>
      </c>
      <c r="C277" s="182" t="s">
        <v>325</v>
      </c>
      <c r="D277" s="182" t="s">
        <v>326</v>
      </c>
      <c r="E277" s="182" t="s">
        <v>327</v>
      </c>
      <c r="F277" s="182" t="s">
        <v>328</v>
      </c>
      <c r="G277" s="182" t="s">
        <v>329</v>
      </c>
      <c r="H277" s="182" t="n">
        <v>2005</v>
      </c>
      <c r="I277" s="182" t="n">
        <v>2006</v>
      </c>
      <c r="J277" s="182" t="n">
        <v>2007</v>
      </c>
      <c r="K277" s="182" t="n">
        <v>2008</v>
      </c>
      <c r="L277" s="182" t="n">
        <v>2009</v>
      </c>
      <c r="M277" s="182" t="n">
        <v>2010</v>
      </c>
    </row>
    <row r="278" customFormat="false" ht="13.5" hidden="false" customHeight="false" outlineLevel="0" collapsed="false">
      <c r="A278" s="216" t="s">
        <v>304</v>
      </c>
      <c r="B278" s="216"/>
      <c r="C278" s="216"/>
      <c r="D278" s="216"/>
      <c r="E278" s="216"/>
      <c r="F278" s="216"/>
      <c r="G278" s="216"/>
      <c r="H278" s="217" t="n">
        <f aca="false">+SUMIF($B$150:$B$175,"ADMINISTRATIU",$H$150:$H$175)</f>
        <v>0</v>
      </c>
      <c r="I278" s="217" t="n">
        <f aca="false">+SUMIF($B$150:$B$175,"ADMINISTRATIU",$I$150:$I$175)</f>
        <v>0</v>
      </c>
      <c r="J278" s="217" t="n">
        <f aca="false">+SUMIF($B$150:$B$175,"ADMINISTRATIU",$J$150:$J$175)</f>
        <v>0</v>
      </c>
      <c r="K278" s="217" t="n">
        <f aca="false">+SUMIF($B$150:$B$175,"ADMINISTRATIU",$K$150:$K$175)</f>
        <v>0</v>
      </c>
      <c r="L278" s="217" t="n">
        <f aca="false">+SUMIF($B$150:$B$175,"ADMINISTRATIU",$L$150:$L$175)</f>
        <v>0</v>
      </c>
      <c r="M278" s="217" t="n">
        <f aca="false">+SUMIF($B$150:$B$175,"ADMINISTRATIU",$M$150:$M$175)</f>
        <v>0</v>
      </c>
    </row>
    <row r="279" customFormat="false" ht="13.5" hidden="false" customHeight="false" outlineLevel="0" collapsed="false">
      <c r="A279" s="216" t="s">
        <v>305</v>
      </c>
      <c r="B279" s="216"/>
      <c r="C279" s="216"/>
      <c r="D279" s="216"/>
      <c r="E279" s="216"/>
      <c r="F279" s="216"/>
      <c r="G279" s="216"/>
      <c r="H279" s="217" t="n">
        <f aca="false">+SUMIF($B$150:$B$175,"EDUCATIU",$H$150:$H$175)</f>
        <v>0</v>
      </c>
      <c r="I279" s="217" t="n">
        <f aca="false">+SUMIF($B$150:$B$175,"EDUCATIU",$I$150:$I$175)</f>
        <v>0</v>
      </c>
      <c r="J279" s="217" t="n">
        <f aca="false">+SUMIF($B$150:$B$175,"EDUCATIU",$J$150:$J$175)</f>
        <v>0</v>
      </c>
      <c r="K279" s="217" t="n">
        <f aca="false">+SUMIF($B$150:$B$175,"EDUCATIU",$K$150:$K$175)</f>
        <v>0</v>
      </c>
      <c r="L279" s="217" t="n">
        <f aca="false">+SUMIF($B$150:$B$175,"EDUCATIU",$L$150:$L$175)</f>
        <v>0</v>
      </c>
      <c r="M279" s="217" t="n">
        <f aca="false">+SUMIF($B$150:$B$175,"EDUCATIU",$M$150:$M$175)</f>
        <v>0</v>
      </c>
    </row>
    <row r="280" customFormat="false" ht="13.5" hidden="false" customHeight="false" outlineLevel="0" collapsed="false">
      <c r="A280" s="216" t="s">
        <v>306</v>
      </c>
      <c r="B280" s="216"/>
      <c r="C280" s="216"/>
      <c r="D280" s="216"/>
      <c r="E280" s="216"/>
      <c r="F280" s="216"/>
      <c r="G280" s="216"/>
      <c r="H280" s="217" t="n">
        <f aca="false">+SUMIF($B$150:$B$175,"ESPORTIU AMB PISCINA",$H$150:$H$175)</f>
        <v>688697.2</v>
      </c>
      <c r="I280" s="217" t="n">
        <f aca="false">+SUMIF($B$150:$B$175,"ESPORTIU AMB PISCINA",$I$150:$I$175)</f>
        <v>688697.2</v>
      </c>
      <c r="J280" s="217" t="n">
        <f aca="false">+SUMIF($B$150:$B$175,"ESPORTIU AMB PISCINA",$J$150:$J$175)</f>
        <v>688697.2</v>
      </c>
      <c r="K280" s="217" t="n">
        <f aca="false">+SUMIF($B$150:$B$175,"ESPORTIU AMB PISCINA",$K$150:$K$175)</f>
        <v>688697.2</v>
      </c>
      <c r="L280" s="217" t="n">
        <f aca="false">+SUMIF($B$150:$B$175,"ESPORTIU AMB PISCINA",$L$150:$L$175)</f>
        <v>688697.2</v>
      </c>
      <c r="M280" s="217" t="n">
        <f aca="false">+SUMIF($B$150:$B$175,"ESPORTIU AMB PISCINA",$M$150:$M$175)</f>
        <v>688697.2</v>
      </c>
    </row>
    <row r="281" customFormat="false" ht="13.5" hidden="false" customHeight="false" outlineLevel="0" collapsed="false">
      <c r="A281" s="216" t="s">
        <v>307</v>
      </c>
      <c r="B281" s="216"/>
      <c r="C281" s="216"/>
      <c r="D281" s="216"/>
      <c r="E281" s="216"/>
      <c r="F281" s="216"/>
      <c r="G281" s="216"/>
      <c r="H281" s="217" t="n">
        <f aca="false">+SUMIF($B$150:$B$175,"Esportiu sense piscina",$H$150:$H$175)</f>
        <v>0</v>
      </c>
      <c r="I281" s="217" t="n">
        <f aca="false">+SUMIF($B$150:$B$175,"ESPORTIU SENSE PISCINA",$I$150:$I$175)</f>
        <v>0</v>
      </c>
      <c r="J281" s="217" t="n">
        <f aca="false">+SUMIF($B$150:$B$175,"ESPORTIU SENSE PISCINA",$J$150:$J$175)</f>
        <v>0</v>
      </c>
      <c r="K281" s="217" t="n">
        <f aca="false">+SUMIF($B$150:$B$175,"ESPORTIU SENSE PISCINA",$K$150:$K$175)</f>
        <v>0</v>
      </c>
      <c r="L281" s="217" t="n">
        <f aca="false">+SUMIF($B$150:$B$175,"ESPORTIU SENSE PISCINA",$L$150:$L$175)</f>
        <v>0</v>
      </c>
      <c r="M281" s="217" t="n">
        <f aca="false">+SUMIF($B$150:$B$175,"ESPORTIU SENSE PISCINA",$M$150:$M$175)</f>
        <v>0</v>
      </c>
    </row>
    <row r="282" customFormat="false" ht="13.5" hidden="false" customHeight="false" outlineLevel="0" collapsed="false">
      <c r="A282" s="216" t="s">
        <v>311</v>
      </c>
      <c r="B282" s="216"/>
      <c r="C282" s="216"/>
      <c r="D282" s="216"/>
      <c r="E282" s="216"/>
      <c r="F282" s="216"/>
      <c r="G282" s="216"/>
      <c r="H282" s="217" t="n">
        <f aca="false">+SUMIF($B$150:$B$175,"SOCIOCULTURAL",$H$150:$H$175)</f>
        <v>0</v>
      </c>
      <c r="I282" s="217" t="n">
        <f aca="false">+SUMIF($B$150:$B$175,"SOCIOCULTURAL",$I$150:$I$175)</f>
        <v>0</v>
      </c>
      <c r="J282" s="217" t="n">
        <f aca="false">+SUMIF($B$150:$B$175,"SOCIOCULTURAL",$J$150:$J$175)</f>
        <v>0</v>
      </c>
      <c r="K282" s="217" t="n">
        <f aca="false">+SUMIF($B$150:$B$175,"SOCIOCULTURAL",$K$150:$K$175)</f>
        <v>0</v>
      </c>
      <c r="L282" s="217" t="n">
        <f aca="false">+SUMIF($B$150:$B$175,"SOCIOCULTURAL",$L$150:$L$175)</f>
        <v>0</v>
      </c>
      <c r="M282" s="217" t="n">
        <f aca="false">+SUMIF($B$150:$B$175,"SOCIOCULTURAL",$M$150:$M$175)</f>
        <v>0</v>
      </c>
    </row>
    <row r="283" customFormat="false" ht="13.5" hidden="false" customHeight="false" outlineLevel="0" collapsed="false">
      <c r="A283" s="216" t="s">
        <v>247</v>
      </c>
      <c r="B283" s="216"/>
      <c r="C283" s="216"/>
      <c r="D283" s="216"/>
      <c r="E283" s="216"/>
      <c r="F283" s="216"/>
      <c r="G283" s="216"/>
      <c r="H283" s="217" t="n">
        <f aca="false">+SUMIF($B$150:$B$175,"ALTRES",$H$150:$H$175)</f>
        <v>0</v>
      </c>
      <c r="I283" s="217" t="n">
        <f aca="false">+SUMIF($B$150:$B$175,"ALTRES",$I$150:$I$175)</f>
        <v>0</v>
      </c>
      <c r="J283" s="217" t="n">
        <f aca="false">+SUMIF($B$150:$B$175,"ALTRES",$J$150:$J$175)</f>
        <v>0</v>
      </c>
      <c r="K283" s="217" t="n">
        <f aca="false">+SUMIF($B$150:$B$175,"ALTRES",$K$150:$K$175)</f>
        <v>0</v>
      </c>
      <c r="L283" s="217" t="n">
        <f aca="false">+SUMIF($B$150:$B$175,"ALTRES",$L$150:$L$175)</f>
        <v>0</v>
      </c>
      <c r="M283" s="217" t="n">
        <f aca="false">+SUMIF($B$150:$B$175,"ALTRES",$M$150:$M$175)</f>
        <v>0</v>
      </c>
    </row>
    <row r="284" customFormat="false" ht="13.5" hidden="false" customHeight="false" outlineLevel="0" collapsed="false">
      <c r="A284" s="218"/>
      <c r="B284" s="218"/>
      <c r="C284" s="218"/>
      <c r="D284" s="218"/>
      <c r="E284" s="218"/>
      <c r="F284" s="218"/>
      <c r="G284" s="218"/>
      <c r="H284" s="219" t="n">
        <f aca="false">SUM(H278:H283)</f>
        <v>688697.2</v>
      </c>
      <c r="I284" s="219" t="n">
        <f aca="false">SUM(I278:I283)</f>
        <v>688697.2</v>
      </c>
      <c r="J284" s="219" t="n">
        <f aca="false">SUM(J278:J283)</f>
        <v>688697.2</v>
      </c>
      <c r="K284" s="219" t="n">
        <f aca="false">SUM(K278:K283)</f>
        <v>688697.2</v>
      </c>
      <c r="L284" s="219" t="n">
        <f aca="false">SUM(L278:L283)</f>
        <v>688697.2</v>
      </c>
      <c r="M284" s="219" t="n">
        <f aca="false">SUM(M278:M283)</f>
        <v>688697.2</v>
      </c>
    </row>
    <row r="285" customFormat="false" ht="13.5" hidden="false" customHeight="false" outlineLevel="0" collapsed="false">
      <c r="A285" s="182" t="s">
        <v>53</v>
      </c>
      <c r="B285" s="182" t="s">
        <v>324</v>
      </c>
      <c r="C285" s="182" t="s">
        <v>325</v>
      </c>
      <c r="D285" s="182" t="s">
        <v>326</v>
      </c>
      <c r="E285" s="182" t="s">
        <v>327</v>
      </c>
      <c r="F285" s="182" t="s">
        <v>328</v>
      </c>
      <c r="G285" s="182" t="s">
        <v>329</v>
      </c>
      <c r="H285" s="182" t="n">
        <v>2005</v>
      </c>
      <c r="I285" s="182" t="n">
        <v>2006</v>
      </c>
      <c r="J285" s="182" t="n">
        <v>2007</v>
      </c>
      <c r="K285" s="182" t="n">
        <v>2008</v>
      </c>
      <c r="L285" s="182" t="n">
        <v>2009</v>
      </c>
      <c r="M285" s="182" t="n">
        <v>2010</v>
      </c>
    </row>
    <row r="286" customFormat="false" ht="13.5" hidden="false" customHeight="false" outlineLevel="0" collapsed="false">
      <c r="A286" s="216" t="s">
        <v>304</v>
      </c>
      <c r="B286" s="216"/>
      <c r="C286" s="216"/>
      <c r="D286" s="216"/>
      <c r="E286" s="216"/>
      <c r="F286" s="216"/>
      <c r="G286" s="216"/>
      <c r="H286" s="217" t="n">
        <f aca="false">+SUMIF($B$211:$B$236,"ADMINISTRATIU",H$211:H$236)</f>
        <v>0</v>
      </c>
      <c r="I286" s="217" t="n">
        <f aca="false">+SUMIF($B$211:$B$236,"ADMINISTRATIU",I$211:I$236)</f>
        <v>0</v>
      </c>
      <c r="J286" s="217" t="n">
        <f aca="false">+SUMIF($B$211:$B$236,"ADMINISTRATIU",J$211:J$236)</f>
        <v>0</v>
      </c>
      <c r="K286" s="217" t="n">
        <f aca="false">+SUMIF($B$211:$B$236,"ADMINISTRATIU",K$211:K$236)</f>
        <v>0</v>
      </c>
      <c r="L286" s="217" t="n">
        <f aca="false">+SUMIF($B$211:$B$236,"ADMINISTRATIU",L$211:L$236)</f>
        <v>0</v>
      </c>
      <c r="M286" s="217" t="n">
        <f aca="false">+SUMIF($B$211:$B$236,"ADMINISTRATIU",M$211:M$236)</f>
        <v>0</v>
      </c>
    </row>
    <row r="287" customFormat="false" ht="13.5" hidden="false" customHeight="false" outlineLevel="0" collapsed="false">
      <c r="A287" s="216" t="s">
        <v>305</v>
      </c>
      <c r="B287" s="216"/>
      <c r="C287" s="216"/>
      <c r="D287" s="216"/>
      <c r="E287" s="216"/>
      <c r="F287" s="216"/>
      <c r="G287" s="216"/>
      <c r="H287" s="217" t="n">
        <f aca="false">+SUMIF($B$211:$B$236,"EDUCATIU",H$211:H$236)</f>
        <v>0</v>
      </c>
      <c r="I287" s="217" t="n">
        <f aca="false">+SUMIF($B$211:$B$236,"EDUCATIU",I$211:I$236)</f>
        <v>0</v>
      </c>
      <c r="J287" s="217" t="n">
        <f aca="false">+SUMIF($B$211:$B$236,"EDUCATIU",J$211:J$236)</f>
        <v>0</v>
      </c>
      <c r="K287" s="217" t="n">
        <f aca="false">+SUMIF($B$211:$B$236,"EDUCATIU",K$211:K$236)</f>
        <v>0</v>
      </c>
      <c r="L287" s="217" t="n">
        <f aca="false">+SUMIF($B$211:$B$236,"EDUCATIU",L$211:L$236)</f>
        <v>0</v>
      </c>
      <c r="M287" s="217" t="n">
        <f aca="false">+SUMIF($B$211:$B$236,"EDUCATIU",M$211:M$236)</f>
        <v>0</v>
      </c>
    </row>
    <row r="288" customFormat="false" ht="13.5" hidden="false" customHeight="false" outlineLevel="0" collapsed="false">
      <c r="A288" s="216" t="s">
        <v>306</v>
      </c>
      <c r="B288" s="216"/>
      <c r="C288" s="216"/>
      <c r="D288" s="216"/>
      <c r="E288" s="216"/>
      <c r="F288" s="216"/>
      <c r="G288" s="216"/>
      <c r="H288" s="217" t="n">
        <f aca="false">+SUMIF($B$211:$B$236,"ESPORTIU AMB PISCINA",H$211:H$236)</f>
        <v>55527.6744186047</v>
      </c>
      <c r="I288" s="217" t="n">
        <f aca="false">+SUMIF($B$211:$B$236,"ESPORTIU AMB PISCINA",I$211:I$236)</f>
        <v>55527.6744186047</v>
      </c>
      <c r="J288" s="217" t="n">
        <f aca="false">+SUMIF($B$211:$B$236,"ESPORTIU AMB PISCINA",J$211:J$236)</f>
        <v>55527.6744186047</v>
      </c>
      <c r="K288" s="217" t="n">
        <f aca="false">+SUMIF($B$211:$B$236,"ESPORTIU AMB PISCINA",K$211:K$236)</f>
        <v>55527.6744186047</v>
      </c>
      <c r="L288" s="217" t="n">
        <f aca="false">+SUMIF($B$211:$B$236,"ESPORTIU AMB PISCINA",L$211:L$236)</f>
        <v>55527.6744186047</v>
      </c>
      <c r="M288" s="217" t="n">
        <f aca="false">+SUMIF($B$211:$B$236,"ESPORTIU AMB PISCINA",M$211:M$236)</f>
        <v>55527.6744186047</v>
      </c>
    </row>
    <row r="289" customFormat="false" ht="13.5" hidden="false" customHeight="false" outlineLevel="0" collapsed="false">
      <c r="A289" s="216" t="s">
        <v>307</v>
      </c>
      <c r="B289" s="216"/>
      <c r="C289" s="216"/>
      <c r="D289" s="216"/>
      <c r="E289" s="216"/>
      <c r="F289" s="216"/>
      <c r="G289" s="216"/>
      <c r="H289" s="217" t="n">
        <f aca="false">+SUMIF($B$211:$B$236,"ESPORTIU SENSE PISCINA",H$211:H$236)</f>
        <v>116941.860465116</v>
      </c>
      <c r="I289" s="217" t="n">
        <f aca="false">+SUMIF($B$211:$B$236,"ESPORTIU SENSE PISCINA",I$211:I$236)</f>
        <v>116941.860465116</v>
      </c>
      <c r="J289" s="217" t="n">
        <f aca="false">+SUMIF($B$211:$B$236,"ESPORTIU SENSE PISCINA",J$211:J$236)</f>
        <v>116941.860465116</v>
      </c>
      <c r="K289" s="217" t="n">
        <f aca="false">+SUMIF($B$211:$B$236,"ESPORTIU SENSE PISCINA",K$211:K$236)</f>
        <v>116941.860465116</v>
      </c>
      <c r="L289" s="217" t="n">
        <f aca="false">+SUMIF($B$211:$B$236,"ESPORTIU SENSE PISCINA",L$211:L$236)</f>
        <v>116941.860465116</v>
      </c>
      <c r="M289" s="217" t="n">
        <f aca="false">+SUMIF($B$211:$B$236,"ESPORTIU SENSE PISCINA",M$211:M$236)</f>
        <v>116941.860465116</v>
      </c>
    </row>
    <row r="290" customFormat="false" ht="13.5" hidden="false" customHeight="false" outlineLevel="0" collapsed="false">
      <c r="A290" s="216" t="s">
        <v>311</v>
      </c>
      <c r="B290" s="216"/>
      <c r="C290" s="216"/>
      <c r="D290" s="216"/>
      <c r="E290" s="216"/>
      <c r="F290" s="216"/>
      <c r="G290" s="216"/>
      <c r="H290" s="217" t="n">
        <f aca="false">+SUMIF($B$211:$B$236,"SOCIOCULTURAL",H$211:H$236)</f>
        <v>0</v>
      </c>
      <c r="I290" s="217" t="n">
        <f aca="false">+SUMIF($B$211:$B$236,"SOCIOCULTURAL",I$211:I$236)</f>
        <v>0</v>
      </c>
      <c r="J290" s="217" t="n">
        <f aca="false">+SUMIF($B$211:$B$236,"SOCIOCULTURAL",J$211:J$236)</f>
        <v>0</v>
      </c>
      <c r="K290" s="217" t="n">
        <f aca="false">+SUMIF($B$211:$B$236,"SOCIOCULTURAL",K$211:K$236)</f>
        <v>0</v>
      </c>
      <c r="L290" s="217" t="n">
        <f aca="false">+SUMIF($B$211:$B$236,"SOCIOCULTURAL",L$211:L$236)</f>
        <v>0</v>
      </c>
      <c r="M290" s="217" t="n">
        <f aca="false">+SUMIF($B$211:$B$236,"SOCIOCULTURAL",M$211:M$236)</f>
        <v>0</v>
      </c>
    </row>
    <row r="291" customFormat="false" ht="13.5" hidden="false" customHeight="false" outlineLevel="0" collapsed="false">
      <c r="A291" s="216" t="s">
        <v>247</v>
      </c>
      <c r="B291" s="216"/>
      <c r="C291" s="216"/>
      <c r="D291" s="216"/>
      <c r="E291" s="216"/>
      <c r="F291" s="216"/>
      <c r="G291" s="216"/>
      <c r="H291" s="217" t="n">
        <f aca="false">+SUMIF($B$211:$B$236,"ALTRES",H$211:H$236)</f>
        <v>0</v>
      </c>
      <c r="I291" s="217" t="n">
        <f aca="false">+SUMIF($B$211:$B$236,"ALTRES",I$211:I$236)</f>
        <v>0</v>
      </c>
      <c r="J291" s="217" t="n">
        <f aca="false">+SUMIF($B$211:$B$236,"ALTRES",J$211:J$236)</f>
        <v>0</v>
      </c>
      <c r="K291" s="217" t="n">
        <f aca="false">+SUMIF($B$211:$B$236,"ALTRES",K$211:K$236)</f>
        <v>0</v>
      </c>
      <c r="L291" s="217" t="n">
        <f aca="false">+SUMIF($B$211:$B$236,"ALTRES",L$211:L$236)</f>
        <v>0</v>
      </c>
      <c r="M291" s="217" t="n">
        <f aca="false">+SUMIF($B$211:$B$236,"ALTRES",M$211:M$236)</f>
        <v>0</v>
      </c>
    </row>
    <row r="292" customFormat="false" ht="13.5" hidden="false" customHeight="false" outlineLevel="0" collapsed="false">
      <c r="A292" s="220"/>
      <c r="B292" s="220"/>
      <c r="C292" s="220"/>
      <c r="D292" s="220"/>
      <c r="E292" s="220"/>
      <c r="F292" s="220"/>
      <c r="G292" s="220"/>
      <c r="H292" s="219" t="n">
        <f aca="false">SUM(H286:H291)</f>
        <v>172469.534883721</v>
      </c>
      <c r="I292" s="219" t="n">
        <f aca="false">SUM(I286:I291)</f>
        <v>172469.534883721</v>
      </c>
      <c r="J292" s="219" t="n">
        <f aca="false">SUM(J286:J291)</f>
        <v>172469.534883721</v>
      </c>
      <c r="K292" s="219" t="n">
        <f aca="false">SUM(K286:K291)</f>
        <v>172469.534883721</v>
      </c>
      <c r="L292" s="219" t="n">
        <f aca="false">SUM(L286:L291)</f>
        <v>172469.534883721</v>
      </c>
      <c r="M292" s="219" t="n">
        <f aca="false">SUM(M286:M291)</f>
        <v>172469.534883721</v>
      </c>
    </row>
    <row r="293" customFormat="false" ht="13.5" hidden="false" customHeight="false" outlineLevel="0" collapsed="false">
      <c r="A293" s="221" t="s">
        <v>396</v>
      </c>
      <c r="B293" s="221" t="s">
        <v>324</v>
      </c>
      <c r="C293" s="221" t="s">
        <v>325</v>
      </c>
      <c r="D293" s="221" t="s">
        <v>326</v>
      </c>
      <c r="E293" s="221" t="s">
        <v>327</v>
      </c>
      <c r="F293" s="221" t="s">
        <v>328</v>
      </c>
      <c r="G293" s="221" t="s">
        <v>329</v>
      </c>
      <c r="H293" s="221" t="n">
        <v>2005</v>
      </c>
      <c r="I293" s="221" t="n">
        <v>2006</v>
      </c>
      <c r="J293" s="221" t="n">
        <v>2007</v>
      </c>
      <c r="K293" s="221" t="n">
        <v>2008</v>
      </c>
      <c r="L293" s="221" t="n">
        <v>2009</v>
      </c>
      <c r="M293" s="221" t="n">
        <v>2010</v>
      </c>
    </row>
    <row r="294" customFormat="false" ht="13.5" hidden="false" customHeight="false" outlineLevel="0" collapsed="false">
      <c r="A294" s="222" t="s">
        <v>304</v>
      </c>
      <c r="B294" s="222"/>
      <c r="C294" s="222"/>
      <c r="D294" s="222"/>
      <c r="E294" s="222"/>
      <c r="F294" s="222"/>
      <c r="G294" s="222"/>
      <c r="H294" s="223" t="n">
        <f aca="false">+H270+H278+H286</f>
        <v>271308</v>
      </c>
      <c r="I294" s="223" t="n">
        <f aca="false">+I270+I278+I286</f>
        <v>333631</v>
      </c>
      <c r="J294" s="223" t="n">
        <f aca="false">+J270+J278+J286</f>
        <v>373511</v>
      </c>
      <c r="K294" s="223" t="n">
        <f aca="false">+K270+K278+K286</f>
        <v>340182</v>
      </c>
      <c r="L294" s="223" t="n">
        <f aca="false">+L270+L278+L286</f>
        <v>342314</v>
      </c>
      <c r="M294" s="223" t="n">
        <f aca="false">+M270+M278+M286</f>
        <v>289718</v>
      </c>
    </row>
    <row r="295" customFormat="false" ht="13.5" hidden="false" customHeight="false" outlineLevel="0" collapsed="false">
      <c r="A295" s="222" t="s">
        <v>305</v>
      </c>
      <c r="B295" s="222"/>
      <c r="C295" s="222"/>
      <c r="D295" s="222"/>
      <c r="E295" s="222"/>
      <c r="F295" s="222"/>
      <c r="G295" s="222"/>
      <c r="H295" s="223" t="n">
        <f aca="false">+H271+H279+H287</f>
        <v>275540</v>
      </c>
      <c r="I295" s="223" t="n">
        <f aca="false">+I271+I279+I287</f>
        <v>271310</v>
      </c>
      <c r="J295" s="223" t="n">
        <f aca="false">+J271+J279+J287</f>
        <v>242696</v>
      </c>
      <c r="K295" s="223" t="n">
        <f aca="false">+K271+K279+K287</f>
        <v>258345</v>
      </c>
      <c r="L295" s="223" t="n">
        <f aca="false">+L271+L279+L287</f>
        <v>298786</v>
      </c>
      <c r="M295" s="223" t="n">
        <f aca="false">+M271+M279+M287</f>
        <v>279960</v>
      </c>
    </row>
    <row r="296" customFormat="false" ht="13.5" hidden="false" customHeight="false" outlineLevel="0" collapsed="false">
      <c r="A296" s="222" t="s">
        <v>306</v>
      </c>
      <c r="B296" s="222"/>
      <c r="C296" s="222"/>
      <c r="D296" s="222"/>
      <c r="E296" s="222"/>
      <c r="F296" s="222"/>
      <c r="G296" s="222"/>
      <c r="H296" s="223" t="n">
        <f aca="false">+H272+H280+H288</f>
        <v>1206258.87441861</v>
      </c>
      <c r="I296" s="223" t="n">
        <f aca="false">+I272+I280+I288</f>
        <v>1156902.87441861</v>
      </c>
      <c r="J296" s="223" t="n">
        <f aca="false">+J272+J280+J288</f>
        <v>1168462.87441861</v>
      </c>
      <c r="K296" s="223" t="n">
        <f aca="false">+K272+K280+K288</f>
        <v>1143941.87441861</v>
      </c>
      <c r="L296" s="223" t="n">
        <f aca="false">+L272+L280+L288</f>
        <v>1087577.8744186</v>
      </c>
      <c r="M296" s="223" t="n">
        <f aca="false">+M272+M280+M288</f>
        <v>1115937.8744186</v>
      </c>
    </row>
    <row r="297" customFormat="false" ht="13.5" hidden="false" customHeight="false" outlineLevel="0" collapsed="false">
      <c r="A297" s="222" t="s">
        <v>307</v>
      </c>
      <c r="B297" s="222"/>
      <c r="C297" s="222"/>
      <c r="D297" s="222"/>
      <c r="E297" s="222"/>
      <c r="F297" s="222"/>
      <c r="G297" s="222"/>
      <c r="H297" s="223" t="n">
        <f aca="false">+H273+H281+H289</f>
        <v>256857.860465116</v>
      </c>
      <c r="I297" s="223" t="n">
        <f aca="false">+I273+I281+I289</f>
        <v>222565.860465116</v>
      </c>
      <c r="J297" s="223" t="n">
        <f aca="false">+J273+J281+J289</f>
        <v>239673.860465116</v>
      </c>
      <c r="K297" s="223" t="n">
        <f aca="false">+K273+K281+K289</f>
        <v>217822.860465116</v>
      </c>
      <c r="L297" s="223" t="n">
        <f aca="false">+L273+L281+L289</f>
        <v>204450.860465116</v>
      </c>
      <c r="M297" s="223" t="n">
        <f aca="false">+M273+M281+M289</f>
        <v>199997.860465116</v>
      </c>
    </row>
    <row r="298" customFormat="false" ht="13.5" hidden="false" customHeight="false" outlineLevel="0" collapsed="false">
      <c r="A298" s="222" t="s">
        <v>311</v>
      </c>
      <c r="B298" s="222"/>
      <c r="C298" s="222"/>
      <c r="D298" s="222"/>
      <c r="E298" s="222"/>
      <c r="F298" s="222"/>
      <c r="G298" s="222"/>
      <c r="H298" s="223" t="n">
        <f aca="false">+H274+H282+H290</f>
        <v>274335</v>
      </c>
      <c r="I298" s="223" t="n">
        <f aca="false">+I274+I282+I290</f>
        <v>213267</v>
      </c>
      <c r="J298" s="223" t="n">
        <f aca="false">+J274+J282+J290</f>
        <v>179272</v>
      </c>
      <c r="K298" s="223" t="n">
        <f aca="false">+K274+K282+K290</f>
        <v>276945</v>
      </c>
      <c r="L298" s="223" t="n">
        <f aca="false">+L274+L282+L290</f>
        <v>232019</v>
      </c>
      <c r="M298" s="223" t="n">
        <f aca="false">+M274+M282+M290</f>
        <v>226003</v>
      </c>
    </row>
    <row r="299" customFormat="false" ht="13.5" hidden="false" customHeight="false" outlineLevel="0" collapsed="false">
      <c r="A299" s="222" t="s">
        <v>247</v>
      </c>
      <c r="B299" s="222"/>
      <c r="C299" s="222"/>
      <c r="D299" s="222"/>
      <c r="E299" s="222"/>
      <c r="F299" s="222"/>
      <c r="G299" s="222"/>
      <c r="H299" s="223" t="n">
        <f aca="false">+H275+H283+H291</f>
        <v>124255</v>
      </c>
      <c r="I299" s="223" t="n">
        <f aca="false">+I275+I283+I291</f>
        <v>97546</v>
      </c>
      <c r="J299" s="223" t="n">
        <f aca="false">+J275+J283+J291</f>
        <v>140932</v>
      </c>
      <c r="K299" s="223" t="n">
        <f aca="false">+K275+K283+K291</f>
        <v>97817</v>
      </c>
      <c r="L299" s="223" t="n">
        <f aca="false">+L275+L283+L291</f>
        <v>115515</v>
      </c>
      <c r="M299" s="223" t="n">
        <f aca="false">+M275+M283+M291</f>
        <v>100491</v>
      </c>
    </row>
    <row r="300" customFormat="false" ht="13.5" hidden="false" customHeight="false" outlineLevel="0" collapsed="false">
      <c r="A300" s="224"/>
      <c r="B300" s="224"/>
      <c r="C300" s="224"/>
      <c r="D300" s="224"/>
      <c r="E300" s="224"/>
      <c r="F300" s="224"/>
      <c r="G300" s="224"/>
      <c r="H300" s="223" t="n">
        <f aca="false">SUM(H294:H299)</f>
        <v>2408554.73488372</v>
      </c>
      <c r="I300" s="223" t="n">
        <f aca="false">SUM(I294:I299)</f>
        <v>2295222.73488372</v>
      </c>
      <c r="J300" s="223" t="n">
        <f aca="false">SUM(J294:J299)</f>
        <v>2344547.73488372</v>
      </c>
      <c r="K300" s="223" t="n">
        <f aca="false">SUM(K294:K299)</f>
        <v>2335053.73488372</v>
      </c>
      <c r="L300" s="223" t="n">
        <f aca="false">SUM(L294:L299)</f>
        <v>2280662.73488372</v>
      </c>
      <c r="M300" s="223" t="n">
        <f aca="false">SUM(M294:M299)</f>
        <v>2212107.73488372</v>
      </c>
    </row>
    <row r="301" customFormat="false" ht="13.5" hidden="false" customHeight="false" outlineLevel="0" collapsed="false">
      <c r="A301" s="225"/>
      <c r="B301" s="225"/>
      <c r="C301" s="225"/>
      <c r="D301" s="225"/>
      <c r="E301" s="225"/>
      <c r="F301" s="225"/>
      <c r="G301" s="225"/>
      <c r="H301" s="226" t="n">
        <f aca="false">+H276+H284+H292</f>
        <v>2408554.73488372</v>
      </c>
      <c r="I301" s="226" t="n">
        <f aca="false">+I276+I284+I292</f>
        <v>2295222.73488372</v>
      </c>
      <c r="J301" s="226" t="n">
        <f aca="false">+J276+J284+J292</f>
        <v>2344547.73488372</v>
      </c>
      <c r="K301" s="226" t="n">
        <f aca="false">+K276+K284+K292</f>
        <v>2335053.73488372</v>
      </c>
      <c r="L301" s="226" t="n">
        <f aca="false">+L276+L284+L292</f>
        <v>2280662.73488372</v>
      </c>
      <c r="M301" s="226" t="n">
        <f aca="false">+M276+M284+M292</f>
        <v>2212107.73488372</v>
      </c>
    </row>
    <row r="302" customFormat="false" ht="13.5" hidden="false" customHeight="false" outlineLevel="0" collapsed="false">
      <c r="A302" s="221" t="s">
        <v>397</v>
      </c>
      <c r="B302" s="221" t="s">
        <v>324</v>
      </c>
      <c r="C302" s="221" t="s">
        <v>325</v>
      </c>
      <c r="D302" s="221" t="s">
        <v>326</v>
      </c>
      <c r="E302" s="221" t="s">
        <v>327</v>
      </c>
      <c r="F302" s="221" t="s">
        <v>328</v>
      </c>
      <c r="G302" s="221" t="s">
        <v>329</v>
      </c>
      <c r="H302" s="221" t="n">
        <v>2005</v>
      </c>
      <c r="I302" s="221" t="n">
        <v>2006</v>
      </c>
      <c r="J302" s="221" t="n">
        <v>2007</v>
      </c>
      <c r="K302" s="221" t="n">
        <v>2008</v>
      </c>
      <c r="L302" s="221" t="n">
        <v>2009</v>
      </c>
      <c r="M302" s="221" t="n">
        <v>2010</v>
      </c>
    </row>
    <row r="303" customFormat="false" ht="13.5" hidden="false" customHeight="false" outlineLevel="0" collapsed="false">
      <c r="A303" s="222" t="s">
        <v>304</v>
      </c>
      <c r="B303" s="222"/>
      <c r="C303" s="222"/>
      <c r="D303" s="222"/>
      <c r="E303" s="222"/>
      <c r="F303" s="222"/>
      <c r="G303" s="222"/>
      <c r="H303" s="223" t="n">
        <f aca="false">+H294/$A$309</f>
        <v>271.308</v>
      </c>
      <c r="I303" s="223" t="n">
        <f aca="false">+I294/$A$309</f>
        <v>333.631</v>
      </c>
      <c r="J303" s="223" t="n">
        <f aca="false">+J294/$A$309</f>
        <v>373.511</v>
      </c>
      <c r="K303" s="223" t="n">
        <f aca="false">+K294/$A$309</f>
        <v>340.182</v>
      </c>
      <c r="L303" s="223" t="n">
        <f aca="false">+L294/$A$309</f>
        <v>342.314</v>
      </c>
      <c r="M303" s="223" t="n">
        <f aca="false">+M294/$A$309</f>
        <v>289.718</v>
      </c>
    </row>
    <row r="304" customFormat="false" ht="13.5" hidden="false" customHeight="false" outlineLevel="0" collapsed="false">
      <c r="A304" s="222" t="s">
        <v>305</v>
      </c>
      <c r="B304" s="222"/>
      <c r="C304" s="222"/>
      <c r="D304" s="222"/>
      <c r="E304" s="222"/>
      <c r="F304" s="222"/>
      <c r="G304" s="222"/>
      <c r="H304" s="223" t="n">
        <f aca="false">+H295/$A$309</f>
        <v>275.54</v>
      </c>
      <c r="I304" s="223" t="n">
        <f aca="false">+I295/$A$309</f>
        <v>271.31</v>
      </c>
      <c r="J304" s="223" t="n">
        <f aca="false">+J295/$A$309</f>
        <v>242.696</v>
      </c>
      <c r="K304" s="223" t="n">
        <f aca="false">+K295/$A$309</f>
        <v>258.345</v>
      </c>
      <c r="L304" s="223" t="n">
        <f aca="false">+L295/$A$309</f>
        <v>298.786</v>
      </c>
      <c r="M304" s="223" t="n">
        <f aca="false">+M295/$A$309</f>
        <v>279.96</v>
      </c>
    </row>
    <row r="305" customFormat="false" ht="13.5" hidden="false" customHeight="false" outlineLevel="0" collapsed="false">
      <c r="A305" s="222" t="s">
        <v>306</v>
      </c>
      <c r="B305" s="222"/>
      <c r="C305" s="222"/>
      <c r="D305" s="222"/>
      <c r="E305" s="222"/>
      <c r="F305" s="222"/>
      <c r="G305" s="222"/>
      <c r="H305" s="223" t="n">
        <f aca="false">+H296/$A$309</f>
        <v>1206.25887441861</v>
      </c>
      <c r="I305" s="223" t="n">
        <f aca="false">+I296/$A$309</f>
        <v>1156.9028744186</v>
      </c>
      <c r="J305" s="223" t="n">
        <f aca="false">+J296/$A$309</f>
        <v>1168.46287441861</v>
      </c>
      <c r="K305" s="223" t="n">
        <f aca="false">+K296/$A$309</f>
        <v>1143.9418744186</v>
      </c>
      <c r="L305" s="223" t="n">
        <f aca="false">+L296/$A$309</f>
        <v>1087.5778744186</v>
      </c>
      <c r="M305" s="223" t="n">
        <f aca="false">+M296/$A$309</f>
        <v>1115.9378744186</v>
      </c>
    </row>
    <row r="306" customFormat="false" ht="13.5" hidden="false" customHeight="false" outlineLevel="0" collapsed="false">
      <c r="A306" s="222" t="s">
        <v>307</v>
      </c>
      <c r="B306" s="222"/>
      <c r="C306" s="222"/>
      <c r="D306" s="222"/>
      <c r="E306" s="222"/>
      <c r="F306" s="222"/>
      <c r="G306" s="222"/>
      <c r="H306" s="223" t="n">
        <f aca="false">+H297/$A$309</f>
        <v>256.857860465116</v>
      </c>
      <c r="I306" s="223" t="n">
        <f aca="false">+I297/$A$309</f>
        <v>222.565860465116</v>
      </c>
      <c r="J306" s="223" t="n">
        <f aca="false">+J297/$A$309</f>
        <v>239.673860465116</v>
      </c>
      <c r="K306" s="223" t="n">
        <f aca="false">+K297/$A$309</f>
        <v>217.822860465116</v>
      </c>
      <c r="L306" s="223" t="n">
        <f aca="false">+L297/$A$309</f>
        <v>204.450860465116</v>
      </c>
      <c r="M306" s="223" t="n">
        <f aca="false">+M297/$A$309</f>
        <v>199.997860465116</v>
      </c>
    </row>
    <row r="307" customFormat="false" ht="13.5" hidden="false" customHeight="false" outlineLevel="0" collapsed="false">
      <c r="A307" s="222" t="s">
        <v>311</v>
      </c>
      <c r="B307" s="222"/>
      <c r="C307" s="222"/>
      <c r="D307" s="222"/>
      <c r="E307" s="222"/>
      <c r="F307" s="222"/>
      <c r="G307" s="222"/>
      <c r="H307" s="223" t="n">
        <f aca="false">+H298/$A$309</f>
        <v>274.335</v>
      </c>
      <c r="I307" s="223" t="n">
        <f aca="false">+I298/$A$309</f>
        <v>213.267</v>
      </c>
      <c r="J307" s="223" t="n">
        <f aca="false">+J298/$A$309</f>
        <v>179.272</v>
      </c>
      <c r="K307" s="223" t="n">
        <f aca="false">+K298/$A$309</f>
        <v>276.945</v>
      </c>
      <c r="L307" s="223" t="n">
        <f aca="false">+L298/$A$309</f>
        <v>232.019</v>
      </c>
      <c r="M307" s="223" t="n">
        <f aca="false">+M298/$A$309</f>
        <v>226.003</v>
      </c>
    </row>
    <row r="308" customFormat="false" ht="13.5" hidden="false" customHeight="false" outlineLevel="0" collapsed="false">
      <c r="A308" s="222" t="s">
        <v>247</v>
      </c>
      <c r="B308" s="222"/>
      <c r="C308" s="222"/>
      <c r="D308" s="222"/>
      <c r="E308" s="222"/>
      <c r="F308" s="222"/>
      <c r="G308" s="222"/>
      <c r="H308" s="223" t="n">
        <f aca="false">+H299/$A$309</f>
        <v>124.255</v>
      </c>
      <c r="I308" s="223" t="n">
        <f aca="false">+I299/$A$309</f>
        <v>97.546</v>
      </c>
      <c r="J308" s="223" t="n">
        <f aca="false">+J299/$A$309</f>
        <v>140.932</v>
      </c>
      <c r="K308" s="223" t="n">
        <f aca="false">+K299/$A$309</f>
        <v>97.817</v>
      </c>
      <c r="L308" s="223" t="n">
        <f aca="false">+L299/$A$309</f>
        <v>115.515</v>
      </c>
      <c r="M308" s="223" t="n">
        <f aca="false">+M299/$A$309</f>
        <v>100.491</v>
      </c>
    </row>
    <row r="309" customFormat="false" ht="13.5" hidden="false" customHeight="false" outlineLevel="0" collapsed="false">
      <c r="A309" s="224" t="n">
        <v>1000</v>
      </c>
      <c r="B309" s="224"/>
      <c r="C309" s="224"/>
      <c r="D309" s="224"/>
      <c r="E309" s="224"/>
      <c r="F309" s="224"/>
      <c r="G309" s="224"/>
      <c r="H309" s="223" t="n">
        <f aca="false">+H300/$A$309</f>
        <v>2408.55473488372</v>
      </c>
      <c r="I309" s="223" t="n">
        <f aca="false">+I300/$A$309</f>
        <v>2295.22273488372</v>
      </c>
      <c r="J309" s="223" t="n">
        <f aca="false">+J300/$A$309</f>
        <v>2344.54773488372</v>
      </c>
      <c r="K309" s="223" t="n">
        <f aca="false">+K300/$A$309</f>
        <v>2335.05373488372</v>
      </c>
      <c r="L309" s="223" t="n">
        <f aca="false">+L300/$A$309</f>
        <v>2280.66273488372</v>
      </c>
      <c r="M309" s="223" t="n">
        <f aca="false">+M300/$A$309</f>
        <v>2212.10773488372</v>
      </c>
    </row>
    <row r="310" customFormat="false" ht="13.5" hidden="false" customHeight="false" outlineLevel="0" collapsed="false">
      <c r="A310" s="225"/>
      <c r="B310" s="225"/>
      <c r="C310" s="225"/>
      <c r="D310" s="225"/>
      <c r="E310" s="225"/>
      <c r="F310" s="225"/>
      <c r="G310" s="225"/>
      <c r="H310" s="226" t="n">
        <f aca="false">+H285+H293+H301</f>
        <v>2412564.73488372</v>
      </c>
      <c r="I310" s="226" t="n">
        <f aca="false">+I285+I293+I301</f>
        <v>2299234.73488372</v>
      </c>
      <c r="J310" s="226" t="n">
        <f aca="false">+J285+J293+J301</f>
        <v>2348561.73488372</v>
      </c>
      <c r="K310" s="226" t="n">
        <f aca="false">+K285+K293+K301</f>
        <v>2339069.73488372</v>
      </c>
      <c r="L310" s="226" t="n">
        <f aca="false">+L285+L293+L301</f>
        <v>2284680.73488372</v>
      </c>
      <c r="M310" s="226" t="n">
        <f aca="false">+M285+M293+M301</f>
        <v>2216127.73488372</v>
      </c>
    </row>
    <row r="312" customFormat="false" ht="13.5" hidden="false" customHeight="false" outlineLevel="0" collapsed="false">
      <c r="G312" s="176" t="s">
        <v>398</v>
      </c>
      <c r="H312" s="176" t="n">
        <v>2005</v>
      </c>
      <c r="I312" s="176" t="n">
        <v>2006</v>
      </c>
      <c r="J312" s="176" t="n">
        <v>2007</v>
      </c>
      <c r="K312" s="176" t="n">
        <v>2008</v>
      </c>
      <c r="L312" s="176" t="n">
        <v>2009</v>
      </c>
      <c r="M312" s="176" t="n">
        <v>2010</v>
      </c>
    </row>
    <row r="313" customFormat="false" ht="13.5" hidden="false" customHeight="false" outlineLevel="0" collapsed="false">
      <c r="G313" s="176" t="s">
        <v>253</v>
      </c>
      <c r="H313" s="176" t="n">
        <v>0.8438</v>
      </c>
      <c r="I313" s="176" t="n">
        <v>0.9084</v>
      </c>
      <c r="J313" s="176" t="n">
        <v>0.8211</v>
      </c>
      <c r="K313" s="176" t="n">
        <v>0.8272</v>
      </c>
      <c r="L313" s="176" t="n">
        <v>0.8481</v>
      </c>
      <c r="M313" s="176" t="n">
        <v>0.8481</v>
      </c>
    </row>
    <row r="314" customFormat="false" ht="13.5" hidden="false" customHeight="false" outlineLevel="0" collapsed="false">
      <c r="G314" s="176" t="s">
        <v>51</v>
      </c>
      <c r="H314" s="176" t="n">
        <v>0.202</v>
      </c>
      <c r="I314" s="176" t="n">
        <v>0.202</v>
      </c>
      <c r="J314" s="176" t="n">
        <v>0.202</v>
      </c>
      <c r="K314" s="176" t="n">
        <v>0.202</v>
      </c>
      <c r="L314" s="176" t="n">
        <v>0.202</v>
      </c>
      <c r="M314" s="176" t="n">
        <v>0.202</v>
      </c>
    </row>
    <row r="315" customFormat="false" ht="13.5" hidden="false" customHeight="false" outlineLevel="0" collapsed="false">
      <c r="G315" s="176" t="s">
        <v>53</v>
      </c>
      <c r="H315" s="176" t="n">
        <v>0.227</v>
      </c>
      <c r="I315" s="176" t="n">
        <v>0.227</v>
      </c>
      <c r="J315" s="176" t="n">
        <v>0.227</v>
      </c>
      <c r="K315" s="176" t="n">
        <v>0.227</v>
      </c>
      <c r="L315" s="176" t="n">
        <v>0.227</v>
      </c>
      <c r="M315" s="176" t="n">
        <v>0.227</v>
      </c>
    </row>
    <row r="316" customFormat="false" ht="13.5" hidden="false" customHeight="false" outlineLevel="0" collapsed="false">
      <c r="G316" s="176" t="s">
        <v>117</v>
      </c>
      <c r="H316" s="176" t="n">
        <v>0.267</v>
      </c>
      <c r="I316" s="176" t="n">
        <v>0.267</v>
      </c>
      <c r="J316" s="176" t="n">
        <v>0.267</v>
      </c>
      <c r="K316" s="176" t="n">
        <v>0.267</v>
      </c>
      <c r="L316" s="176" t="n">
        <v>0.267</v>
      </c>
      <c r="M316" s="176" t="n">
        <v>0.267</v>
      </c>
    </row>
    <row r="317" customFormat="false" ht="13.5" hidden="false" customHeight="false" outlineLevel="0" collapsed="false">
      <c r="G317" s="176" t="s">
        <v>118</v>
      </c>
      <c r="H317" s="176" t="n">
        <v>0.249</v>
      </c>
      <c r="I317" s="176" t="n">
        <v>0.249</v>
      </c>
      <c r="J317" s="176" t="n">
        <v>0.249</v>
      </c>
      <c r="K317" s="176" t="n">
        <v>0.249</v>
      </c>
      <c r="L317" s="176" t="n">
        <v>0.249</v>
      </c>
      <c r="M317" s="176" t="n">
        <v>0.249</v>
      </c>
    </row>
    <row r="318" customFormat="false" ht="13.5" hidden="false" customHeight="false" outlineLevel="0" collapsed="false">
      <c r="G318" s="176" t="s">
        <v>119</v>
      </c>
      <c r="H318" s="176" t="n">
        <v>0.279</v>
      </c>
      <c r="I318" s="176" t="n">
        <v>0.279</v>
      </c>
      <c r="J318" s="176" t="n">
        <v>0.279</v>
      </c>
      <c r="K318" s="176" t="n">
        <v>0.279</v>
      </c>
      <c r="L318" s="176" t="n">
        <v>0.279</v>
      </c>
      <c r="M318" s="176" t="n">
        <v>0.279</v>
      </c>
    </row>
    <row r="322" customFormat="false" ht="13.5" hidden="false" customHeight="false" outlineLevel="0" collapsed="false">
      <c r="A322" s="182" t="s">
        <v>399</v>
      </c>
      <c r="B322" s="182" t="s">
        <v>324</v>
      </c>
      <c r="C322" s="182" t="s">
        <v>325</v>
      </c>
      <c r="D322" s="182" t="s">
        <v>326</v>
      </c>
      <c r="E322" s="182" t="s">
        <v>327</v>
      </c>
      <c r="F322" s="182" t="s">
        <v>328</v>
      </c>
      <c r="G322" s="182" t="s">
        <v>329</v>
      </c>
      <c r="H322" s="182" t="n">
        <v>2005</v>
      </c>
      <c r="I322" s="182" t="n">
        <v>2006</v>
      </c>
      <c r="J322" s="182" t="n">
        <v>2007</v>
      </c>
      <c r="K322" s="182" t="n">
        <v>2008</v>
      </c>
      <c r="L322" s="182" t="n">
        <v>2009</v>
      </c>
      <c r="M322" s="182" t="n">
        <v>2010</v>
      </c>
    </row>
    <row r="323" customFormat="false" ht="13.5" hidden="false" customHeight="false" outlineLevel="0" collapsed="false">
      <c r="A323" s="216" t="s">
        <v>304</v>
      </c>
      <c r="B323" s="216"/>
      <c r="C323" s="216"/>
      <c r="D323" s="216"/>
      <c r="E323" s="216"/>
      <c r="F323" s="216"/>
      <c r="G323" s="216"/>
      <c r="H323" s="217" t="n">
        <f aca="false">+$H$313*H270/1000</f>
        <v>228.9296904</v>
      </c>
      <c r="I323" s="217" t="n">
        <f aca="false">+I270*$I$313/1000</f>
        <v>303.0704004</v>
      </c>
      <c r="J323" s="217" t="n">
        <f aca="false">+$J$313*J270/1000</f>
        <v>306.6898821</v>
      </c>
      <c r="K323" s="217" t="n">
        <f aca="false">+$K$313*K270/1000</f>
        <v>281.3985504</v>
      </c>
      <c r="L323" s="217" t="n">
        <f aca="false">+$L$313*L270/1000</f>
        <v>290.3165034</v>
      </c>
      <c r="M323" s="217" t="n">
        <f aca="false">+$M$313*M270/1000</f>
        <v>245.7098358</v>
      </c>
    </row>
    <row r="324" customFormat="false" ht="13.5" hidden="false" customHeight="false" outlineLevel="0" collapsed="false">
      <c r="A324" s="216" t="s">
        <v>305</v>
      </c>
      <c r="B324" s="216"/>
      <c r="C324" s="216"/>
      <c r="D324" s="216"/>
      <c r="E324" s="216"/>
      <c r="F324" s="216"/>
      <c r="G324" s="216"/>
      <c r="H324" s="217" t="n">
        <f aca="false">+$H$313*H271/1000</f>
        <v>232.500652</v>
      </c>
      <c r="I324" s="217" t="n">
        <f aca="false">+I271*$I$313/1000</f>
        <v>246.458004</v>
      </c>
      <c r="J324" s="217" t="n">
        <f aca="false">+$J$313*J271/1000</f>
        <v>199.2776856</v>
      </c>
      <c r="K324" s="217" t="n">
        <f aca="false">+$K$313*K271/1000</f>
        <v>213.702984</v>
      </c>
      <c r="L324" s="217" t="n">
        <f aca="false">+$L$313*L271/1000</f>
        <v>253.4004066</v>
      </c>
      <c r="M324" s="217" t="n">
        <f aca="false">+$M$313*M271/1000</f>
        <v>237.434076</v>
      </c>
    </row>
    <row r="325" customFormat="false" ht="13.5" hidden="false" customHeight="false" outlineLevel="0" collapsed="false">
      <c r="A325" s="216" t="s">
        <v>306</v>
      </c>
      <c r="B325" s="216"/>
      <c r="C325" s="216"/>
      <c r="D325" s="216"/>
      <c r="E325" s="216"/>
      <c r="F325" s="216"/>
      <c r="G325" s="216"/>
      <c r="H325" s="217" t="n">
        <f aca="false">+$H$313*H272/1000</f>
        <v>389.8642892</v>
      </c>
      <c r="I325" s="217" t="n">
        <f aca="false">+I272*$I$313/1000</f>
        <v>374.8766952</v>
      </c>
      <c r="J325" s="217" t="n">
        <f aca="false">+$J$313*J272/1000</f>
        <v>348.3418218</v>
      </c>
      <c r="K325" s="217" t="n">
        <f aca="false">+$K$313*K272/1000</f>
        <v>330.6459024</v>
      </c>
      <c r="L325" s="217" t="n">
        <f aca="false">+$L$313*L272/1000</f>
        <v>291.1976793</v>
      </c>
      <c r="M325" s="217" t="n">
        <f aca="false">+$M$313*M272/1000</f>
        <v>315.2497953</v>
      </c>
    </row>
    <row r="326" customFormat="false" ht="13.5" hidden="false" customHeight="false" outlineLevel="0" collapsed="false">
      <c r="A326" s="216" t="s">
        <v>307</v>
      </c>
      <c r="B326" s="216"/>
      <c r="C326" s="216"/>
      <c r="D326" s="216"/>
      <c r="E326" s="216"/>
      <c r="F326" s="216"/>
      <c r="G326" s="216"/>
      <c r="H326" s="217" t="n">
        <f aca="false">+$H$313*H273/1000</f>
        <v>118.0611208</v>
      </c>
      <c r="I326" s="217" t="n">
        <f aca="false">+I273*$I$313/1000</f>
        <v>95.9488416</v>
      </c>
      <c r="J326" s="217" t="n">
        <f aca="false">+$J$313*J273/1000</f>
        <v>100.7752452</v>
      </c>
      <c r="K326" s="217" t="n">
        <f aca="false">+$K$313*K273/1000</f>
        <v>83.4487632</v>
      </c>
      <c r="L326" s="217" t="n">
        <f aca="false">+$L$313*L273/1000</f>
        <v>74.2163829</v>
      </c>
      <c r="M326" s="217" t="n">
        <f aca="false">+$M$313*M273/1000</f>
        <v>70.4397936</v>
      </c>
    </row>
    <row r="327" customFormat="false" ht="13.5" hidden="false" customHeight="false" outlineLevel="0" collapsed="false">
      <c r="A327" s="216" t="s">
        <v>311</v>
      </c>
      <c r="B327" s="216"/>
      <c r="C327" s="216"/>
      <c r="D327" s="216"/>
      <c r="E327" s="216"/>
      <c r="F327" s="216"/>
      <c r="G327" s="216"/>
      <c r="H327" s="217" t="n">
        <f aca="false">+$H$313*H274/1000</f>
        <v>231.483873</v>
      </c>
      <c r="I327" s="217" t="n">
        <f aca="false">+I274*$I$313/1000</f>
        <v>193.7317428</v>
      </c>
      <c r="J327" s="217" t="n">
        <f aca="false">+$J$313*J274/1000</f>
        <v>147.2002392</v>
      </c>
      <c r="K327" s="217" t="n">
        <f aca="false">+$K$313*K274/1000</f>
        <v>229.088904</v>
      </c>
      <c r="L327" s="217" t="n">
        <f aca="false">+$L$313*L274/1000</f>
        <v>196.7753139</v>
      </c>
      <c r="M327" s="217" t="n">
        <f aca="false">+$M$313*M274/1000</f>
        <v>191.6731443</v>
      </c>
    </row>
    <row r="328" customFormat="false" ht="13.5" hidden="false" customHeight="false" outlineLevel="0" collapsed="false">
      <c r="A328" s="216" t="s">
        <v>247</v>
      </c>
      <c r="B328" s="216"/>
      <c r="C328" s="216"/>
      <c r="D328" s="216"/>
      <c r="E328" s="216"/>
      <c r="F328" s="216"/>
      <c r="G328" s="216"/>
      <c r="H328" s="217" t="n">
        <f aca="false">+$H$313*H275/1000</f>
        <v>104.846369</v>
      </c>
      <c r="I328" s="217" t="n">
        <f aca="false">+I275*$I$313/1000</f>
        <v>88.6107864</v>
      </c>
      <c r="J328" s="217" t="n">
        <f aca="false">+$J$313*J275/1000</f>
        <v>115.7192652</v>
      </c>
      <c r="K328" s="217" t="n">
        <f aca="false">+$K$313*K275/1000</f>
        <v>80.9142224</v>
      </c>
      <c r="L328" s="217" t="n">
        <f aca="false">+$L$313*L275/1000</f>
        <v>97.9682715</v>
      </c>
      <c r="M328" s="217" t="n">
        <f aca="false">+$M$313*M275/1000</f>
        <v>85.2264171</v>
      </c>
    </row>
    <row r="329" customFormat="false" ht="13.5" hidden="false" customHeight="false" outlineLevel="0" collapsed="false">
      <c r="A329" s="218" t="s">
        <v>395</v>
      </c>
      <c r="B329" s="218"/>
      <c r="C329" s="218"/>
      <c r="D329" s="218"/>
      <c r="E329" s="218"/>
      <c r="F329" s="218"/>
      <c r="G329" s="218"/>
      <c r="H329" s="219" t="n">
        <f aca="false">SUM(H323:H328)</f>
        <v>1305.6859944</v>
      </c>
      <c r="I329" s="219" t="n">
        <f aca="false">SUM(I323:I328)</f>
        <v>1302.6964704</v>
      </c>
      <c r="J329" s="219" t="n">
        <f aca="false">SUM(J323:J328)</f>
        <v>1218.0041391</v>
      </c>
      <c r="K329" s="219" t="n">
        <f aca="false">SUM(K323:K328)</f>
        <v>1219.1993264</v>
      </c>
      <c r="L329" s="219" t="n">
        <f aca="false">SUM(L323:L328)</f>
        <v>1203.8745576</v>
      </c>
      <c r="M329" s="219" t="n">
        <f aca="false">SUM(M323:M328)</f>
        <v>1145.7330621</v>
      </c>
    </row>
    <row r="330" customFormat="false" ht="13.5" hidden="false" customHeight="false" outlineLevel="0" collapsed="false">
      <c r="A330" s="182" t="s">
        <v>400</v>
      </c>
      <c r="B330" s="182" t="s">
        <v>324</v>
      </c>
      <c r="C330" s="182" t="s">
        <v>325</v>
      </c>
      <c r="D330" s="182" t="s">
        <v>326</v>
      </c>
      <c r="E330" s="182" t="s">
        <v>327</v>
      </c>
      <c r="F330" s="182" t="s">
        <v>328</v>
      </c>
      <c r="G330" s="182" t="s">
        <v>329</v>
      </c>
      <c r="H330" s="182" t="n">
        <v>2005</v>
      </c>
      <c r="I330" s="182" t="n">
        <v>2006</v>
      </c>
      <c r="J330" s="182" t="n">
        <v>2007</v>
      </c>
      <c r="K330" s="182" t="n">
        <v>2008</v>
      </c>
      <c r="L330" s="182" t="n">
        <v>2009</v>
      </c>
      <c r="M330" s="182" t="n">
        <v>2010</v>
      </c>
    </row>
    <row r="331" customFormat="false" ht="13.5" hidden="false" customHeight="false" outlineLevel="0" collapsed="false">
      <c r="A331" s="216" t="s">
        <v>304</v>
      </c>
      <c r="B331" s="216"/>
      <c r="C331" s="216"/>
      <c r="D331" s="216"/>
      <c r="E331" s="216"/>
      <c r="F331" s="216"/>
      <c r="G331" s="216"/>
      <c r="H331" s="217" t="n">
        <f aca="false">+$H$316*H278/1000</f>
        <v>0</v>
      </c>
      <c r="I331" s="217" t="n">
        <f aca="false">+$H$316*I278/1000</f>
        <v>0</v>
      </c>
      <c r="J331" s="217" t="n">
        <f aca="false">+$H$316*J278/1000</f>
        <v>0</v>
      </c>
      <c r="K331" s="217" t="n">
        <f aca="false">+$H$316*K278/1000</f>
        <v>0</v>
      </c>
      <c r="L331" s="217" t="n">
        <f aca="false">+$H$316*L278/1000</f>
        <v>0</v>
      </c>
      <c r="M331" s="217" t="n">
        <f aca="false">+$H$316*M278/1000</f>
        <v>0</v>
      </c>
    </row>
    <row r="332" customFormat="false" ht="13.5" hidden="false" customHeight="false" outlineLevel="0" collapsed="false">
      <c r="A332" s="216" t="s">
        <v>305</v>
      </c>
      <c r="B332" s="216"/>
      <c r="C332" s="216"/>
      <c r="D332" s="216"/>
      <c r="E332" s="216"/>
      <c r="F332" s="216"/>
      <c r="G332" s="216"/>
      <c r="H332" s="217" t="n">
        <f aca="false">+$H$316*H279/1000</f>
        <v>0</v>
      </c>
      <c r="I332" s="217" t="n">
        <f aca="false">+$H$316*I279/1000</f>
        <v>0</v>
      </c>
      <c r="J332" s="217" t="n">
        <f aca="false">+$H$316*J279/1000</f>
        <v>0</v>
      </c>
      <c r="K332" s="217" t="n">
        <f aca="false">+$H$316*K279/1000</f>
        <v>0</v>
      </c>
      <c r="L332" s="217" t="n">
        <f aca="false">+$H$316*L279/1000</f>
        <v>0</v>
      </c>
      <c r="M332" s="217" t="n">
        <f aca="false">+$H$316*M279/1000</f>
        <v>0</v>
      </c>
    </row>
    <row r="333" customFormat="false" ht="13.5" hidden="false" customHeight="false" outlineLevel="0" collapsed="false">
      <c r="A333" s="216" t="s">
        <v>306</v>
      </c>
      <c r="B333" s="216"/>
      <c r="C333" s="216"/>
      <c r="D333" s="216"/>
      <c r="E333" s="216"/>
      <c r="F333" s="216"/>
      <c r="G333" s="216"/>
      <c r="H333" s="217" t="n">
        <f aca="false">+$H$316*H280/1000</f>
        <v>183.8821524</v>
      </c>
      <c r="I333" s="217" t="n">
        <f aca="false">+$H$316*I280/1000</f>
        <v>183.8821524</v>
      </c>
      <c r="J333" s="217" t="n">
        <f aca="false">+$H$316*J280/1000</f>
        <v>183.8821524</v>
      </c>
      <c r="K333" s="217" t="n">
        <f aca="false">+$H$316*K280/1000</f>
        <v>183.8821524</v>
      </c>
      <c r="L333" s="217" t="n">
        <f aca="false">+$H$316*L280/1000</f>
        <v>183.8821524</v>
      </c>
      <c r="M333" s="217" t="n">
        <f aca="false">+$H$316*M280/1000</f>
        <v>183.8821524</v>
      </c>
    </row>
    <row r="334" customFormat="false" ht="13.5" hidden="false" customHeight="false" outlineLevel="0" collapsed="false">
      <c r="A334" s="216" t="s">
        <v>307</v>
      </c>
      <c r="B334" s="216"/>
      <c r="C334" s="216"/>
      <c r="D334" s="216"/>
      <c r="E334" s="216"/>
      <c r="F334" s="216"/>
      <c r="G334" s="216"/>
      <c r="H334" s="217" t="n">
        <f aca="false">+$H$316*H281/1000</f>
        <v>0</v>
      </c>
      <c r="I334" s="217" t="n">
        <f aca="false">+$H$316*I281/1000</f>
        <v>0</v>
      </c>
      <c r="J334" s="217" t="n">
        <f aca="false">+$H$316*J281/1000</f>
        <v>0</v>
      </c>
      <c r="K334" s="217" t="n">
        <f aca="false">+$H$316*K281/1000</f>
        <v>0</v>
      </c>
      <c r="L334" s="217" t="n">
        <f aca="false">+$H$316*L281/1000</f>
        <v>0</v>
      </c>
      <c r="M334" s="217" t="n">
        <f aca="false">+$H$316*M281/1000</f>
        <v>0</v>
      </c>
    </row>
    <row r="335" customFormat="false" ht="13.5" hidden="false" customHeight="false" outlineLevel="0" collapsed="false">
      <c r="A335" s="216" t="s">
        <v>311</v>
      </c>
      <c r="B335" s="216"/>
      <c r="C335" s="216"/>
      <c r="D335" s="216"/>
      <c r="E335" s="216"/>
      <c r="F335" s="216"/>
      <c r="G335" s="216"/>
      <c r="H335" s="217" t="n">
        <f aca="false">+$H$316*H282/1000</f>
        <v>0</v>
      </c>
      <c r="I335" s="217" t="n">
        <f aca="false">+$H$316*I282/1000</f>
        <v>0</v>
      </c>
      <c r="J335" s="217" t="n">
        <f aca="false">+$H$316*J282/1000</f>
        <v>0</v>
      </c>
      <c r="K335" s="217" t="n">
        <f aca="false">+$H$316*K282/1000</f>
        <v>0</v>
      </c>
      <c r="L335" s="217" t="n">
        <f aca="false">+$H$316*L282/1000</f>
        <v>0</v>
      </c>
      <c r="M335" s="217" t="n">
        <f aca="false">+$H$316*M282/1000</f>
        <v>0</v>
      </c>
    </row>
    <row r="336" customFormat="false" ht="13.5" hidden="false" customHeight="false" outlineLevel="0" collapsed="false">
      <c r="A336" s="216" t="s">
        <v>247</v>
      </c>
      <c r="B336" s="216"/>
      <c r="C336" s="216"/>
      <c r="D336" s="216"/>
      <c r="E336" s="216"/>
      <c r="F336" s="216"/>
      <c r="G336" s="216"/>
      <c r="H336" s="217" t="n">
        <f aca="false">+$H$316*H283/1000</f>
        <v>0</v>
      </c>
      <c r="I336" s="217" t="n">
        <f aca="false">+$H$316*I283/1000</f>
        <v>0</v>
      </c>
      <c r="J336" s="217" t="n">
        <f aca="false">+$H$316*J283/1000</f>
        <v>0</v>
      </c>
      <c r="K336" s="217" t="n">
        <f aca="false">+$H$316*K283/1000</f>
        <v>0</v>
      </c>
      <c r="L336" s="217" t="n">
        <f aca="false">+$H$316*L283/1000</f>
        <v>0</v>
      </c>
      <c r="M336" s="217" t="n">
        <f aca="false">+$H$316*M283/1000</f>
        <v>0</v>
      </c>
    </row>
    <row r="337" customFormat="false" ht="13.5" hidden="false" customHeight="false" outlineLevel="0" collapsed="false">
      <c r="A337" s="218"/>
      <c r="B337" s="218"/>
      <c r="C337" s="218"/>
      <c r="D337" s="218"/>
      <c r="E337" s="218"/>
      <c r="F337" s="218"/>
      <c r="G337" s="218"/>
      <c r="H337" s="219" t="n">
        <f aca="false">SUM(H331:H336)</f>
        <v>183.8821524</v>
      </c>
      <c r="I337" s="219" t="n">
        <f aca="false">SUM(I331:I336)</f>
        <v>183.8821524</v>
      </c>
      <c r="J337" s="219" t="n">
        <f aca="false">SUM(J331:J336)</f>
        <v>183.8821524</v>
      </c>
      <c r="K337" s="219" t="n">
        <f aca="false">SUM(K331:K336)</f>
        <v>183.8821524</v>
      </c>
      <c r="L337" s="219" t="n">
        <f aca="false">SUM(L331:L336)</f>
        <v>183.8821524</v>
      </c>
      <c r="M337" s="219" t="n">
        <f aca="false">SUM(M331:M336)</f>
        <v>183.8821524</v>
      </c>
    </row>
    <row r="338" customFormat="false" ht="13.5" hidden="false" customHeight="false" outlineLevel="0" collapsed="false">
      <c r="A338" s="182" t="s">
        <v>401</v>
      </c>
      <c r="B338" s="182" t="s">
        <v>324</v>
      </c>
      <c r="C338" s="182" t="s">
        <v>325</v>
      </c>
      <c r="D338" s="182" t="s">
        <v>326</v>
      </c>
      <c r="E338" s="182" t="s">
        <v>327</v>
      </c>
      <c r="F338" s="182" t="s">
        <v>328</v>
      </c>
      <c r="G338" s="182" t="s">
        <v>329</v>
      </c>
      <c r="H338" s="182" t="n">
        <v>2005</v>
      </c>
      <c r="I338" s="182" t="n">
        <v>2006</v>
      </c>
      <c r="J338" s="182" t="n">
        <v>2007</v>
      </c>
      <c r="K338" s="182" t="n">
        <v>2008</v>
      </c>
      <c r="L338" s="182" t="n">
        <v>2009</v>
      </c>
      <c r="M338" s="182" t="n">
        <v>2010</v>
      </c>
    </row>
    <row r="339" customFormat="false" ht="13.5" hidden="false" customHeight="false" outlineLevel="0" collapsed="false">
      <c r="A339" s="216" t="s">
        <v>304</v>
      </c>
      <c r="B339" s="216"/>
      <c r="C339" s="216"/>
      <c r="D339" s="216"/>
      <c r="E339" s="216"/>
      <c r="F339" s="216"/>
      <c r="G339" s="216"/>
      <c r="H339" s="217" t="n">
        <f aca="false">+$H$315*H286/1000</f>
        <v>0</v>
      </c>
      <c r="I339" s="217" t="n">
        <f aca="false">+$H$315*I286/1000</f>
        <v>0</v>
      </c>
      <c r="J339" s="217" t="n">
        <f aca="false">+$H$315*J286/1000</f>
        <v>0</v>
      </c>
      <c r="K339" s="217" t="n">
        <f aca="false">+$H$315*K286/1000</f>
        <v>0</v>
      </c>
      <c r="L339" s="217" t="n">
        <f aca="false">+$H$315*L286/1000</f>
        <v>0</v>
      </c>
      <c r="M339" s="217" t="n">
        <f aca="false">+$H$315*M286/1000</f>
        <v>0</v>
      </c>
    </row>
    <row r="340" customFormat="false" ht="13.5" hidden="false" customHeight="false" outlineLevel="0" collapsed="false">
      <c r="A340" s="216" t="s">
        <v>305</v>
      </c>
      <c r="B340" s="216"/>
      <c r="C340" s="216"/>
      <c r="D340" s="216"/>
      <c r="E340" s="216"/>
      <c r="F340" s="216"/>
      <c r="G340" s="216"/>
      <c r="H340" s="217" t="n">
        <f aca="false">+$H$315*H287/1000</f>
        <v>0</v>
      </c>
      <c r="I340" s="217" t="n">
        <f aca="false">+$H$315*I287/1000</f>
        <v>0</v>
      </c>
      <c r="J340" s="217" t="n">
        <f aca="false">+$H$315*J287/1000</f>
        <v>0</v>
      </c>
      <c r="K340" s="217" t="n">
        <f aca="false">+$H$315*K287/1000</f>
        <v>0</v>
      </c>
      <c r="L340" s="217" t="n">
        <f aca="false">+$H$315*L287/1000</f>
        <v>0</v>
      </c>
      <c r="M340" s="217" t="n">
        <f aca="false">+$H$315*M287/1000</f>
        <v>0</v>
      </c>
    </row>
    <row r="341" customFormat="false" ht="13.5" hidden="false" customHeight="false" outlineLevel="0" collapsed="false">
      <c r="A341" s="216" t="s">
        <v>306</v>
      </c>
      <c r="B341" s="216"/>
      <c r="C341" s="216"/>
      <c r="D341" s="216"/>
      <c r="E341" s="216"/>
      <c r="F341" s="216"/>
      <c r="G341" s="216"/>
      <c r="H341" s="217" t="n">
        <f aca="false">+$H$315*H288/1000</f>
        <v>12.6047820930233</v>
      </c>
      <c r="I341" s="217" t="n">
        <f aca="false">+$H$315*I288/1000</f>
        <v>12.6047820930233</v>
      </c>
      <c r="J341" s="217" t="n">
        <f aca="false">+$H$315*J288/1000</f>
        <v>12.6047820930233</v>
      </c>
      <c r="K341" s="217" t="n">
        <f aca="false">+$H$315*K288/1000</f>
        <v>12.6047820930233</v>
      </c>
      <c r="L341" s="217" t="n">
        <f aca="false">+$H$315*L288/1000</f>
        <v>12.6047820930233</v>
      </c>
      <c r="M341" s="217" t="n">
        <f aca="false">+$H$315*M288/1000</f>
        <v>12.6047820930233</v>
      </c>
    </row>
    <row r="342" customFormat="false" ht="13.5" hidden="false" customHeight="false" outlineLevel="0" collapsed="false">
      <c r="A342" s="216" t="s">
        <v>307</v>
      </c>
      <c r="B342" s="216"/>
      <c r="C342" s="216"/>
      <c r="D342" s="216"/>
      <c r="E342" s="216"/>
      <c r="F342" s="216"/>
      <c r="G342" s="216"/>
      <c r="H342" s="217" t="n">
        <f aca="false">+$H$315*H289/1000</f>
        <v>26.5458023255814</v>
      </c>
      <c r="I342" s="217" t="n">
        <f aca="false">+$H$315*I289/1000</f>
        <v>26.5458023255814</v>
      </c>
      <c r="J342" s="217" t="n">
        <f aca="false">+$H$315*J289/1000</f>
        <v>26.5458023255814</v>
      </c>
      <c r="K342" s="217" t="n">
        <f aca="false">+$H$315*K289/1000</f>
        <v>26.5458023255814</v>
      </c>
      <c r="L342" s="217" t="n">
        <f aca="false">+$H$315*L289/1000</f>
        <v>26.5458023255814</v>
      </c>
      <c r="M342" s="217" t="n">
        <f aca="false">+$H$315*M289/1000</f>
        <v>26.5458023255814</v>
      </c>
    </row>
    <row r="343" customFormat="false" ht="13.5" hidden="false" customHeight="false" outlineLevel="0" collapsed="false">
      <c r="A343" s="216" t="s">
        <v>311</v>
      </c>
      <c r="B343" s="216"/>
      <c r="C343" s="216"/>
      <c r="D343" s="216"/>
      <c r="E343" s="216"/>
      <c r="F343" s="216"/>
      <c r="G343" s="216"/>
      <c r="H343" s="217" t="n">
        <f aca="false">+$H$315*H290/1000</f>
        <v>0</v>
      </c>
      <c r="I343" s="217" t="n">
        <f aca="false">+$H$315*I290/1000</f>
        <v>0</v>
      </c>
      <c r="J343" s="217" t="n">
        <f aca="false">+$H$315*J290/1000</f>
        <v>0</v>
      </c>
      <c r="K343" s="217" t="n">
        <f aca="false">+$H$315*K290/1000</f>
        <v>0</v>
      </c>
      <c r="L343" s="217" t="n">
        <f aca="false">+$H$315*L290/1000</f>
        <v>0</v>
      </c>
      <c r="M343" s="217" t="n">
        <f aca="false">+$H$315*M290/1000</f>
        <v>0</v>
      </c>
    </row>
    <row r="344" customFormat="false" ht="13.5" hidden="false" customHeight="false" outlineLevel="0" collapsed="false">
      <c r="A344" s="216" t="s">
        <v>247</v>
      </c>
      <c r="B344" s="216"/>
      <c r="C344" s="216"/>
      <c r="D344" s="216"/>
      <c r="E344" s="216"/>
      <c r="F344" s="216"/>
      <c r="G344" s="216"/>
      <c r="H344" s="217" t="n">
        <f aca="false">+$H$315*H291/1000</f>
        <v>0</v>
      </c>
      <c r="I344" s="217" t="n">
        <f aca="false">+$H$315*I291/1000</f>
        <v>0</v>
      </c>
      <c r="J344" s="217" t="n">
        <f aca="false">+$H$315*J291/1000</f>
        <v>0</v>
      </c>
      <c r="K344" s="217" t="n">
        <f aca="false">+$H$315*K291/1000</f>
        <v>0</v>
      </c>
      <c r="L344" s="217" t="n">
        <f aca="false">+$H$315*L291/1000</f>
        <v>0</v>
      </c>
      <c r="M344" s="217" t="n">
        <f aca="false">+$H$315*M291/1000</f>
        <v>0</v>
      </c>
    </row>
    <row r="345" customFormat="false" ht="13.5" hidden="false" customHeight="false" outlineLevel="0" collapsed="false">
      <c r="A345" s="220"/>
      <c r="B345" s="220"/>
      <c r="C345" s="220"/>
      <c r="D345" s="220"/>
      <c r="E345" s="220"/>
      <c r="F345" s="220"/>
      <c r="G345" s="220"/>
      <c r="H345" s="219" t="n">
        <f aca="false">SUM(H339:H344)</f>
        <v>39.1505844186047</v>
      </c>
      <c r="I345" s="219" t="n">
        <f aca="false">SUM(I339:I344)</f>
        <v>39.1505844186047</v>
      </c>
      <c r="J345" s="219" t="n">
        <f aca="false">SUM(J339:J344)</f>
        <v>39.1505844186047</v>
      </c>
      <c r="K345" s="219" t="n">
        <f aca="false">SUM(K339:K344)</f>
        <v>39.1505844186047</v>
      </c>
      <c r="L345" s="219" t="n">
        <f aca="false">SUM(L339:L344)</f>
        <v>39.1505844186047</v>
      </c>
      <c r="M345" s="219" t="n">
        <f aca="false">SUM(M339:M344)</f>
        <v>39.1505844186047</v>
      </c>
    </row>
    <row r="346" customFormat="false" ht="13.5" hidden="false" customHeight="false" outlineLevel="0" collapsed="false">
      <c r="A346" s="221" t="s">
        <v>397</v>
      </c>
      <c r="B346" s="221" t="s">
        <v>324</v>
      </c>
      <c r="C346" s="221" t="s">
        <v>325</v>
      </c>
      <c r="D346" s="221" t="s">
        <v>326</v>
      </c>
      <c r="E346" s="221" t="s">
        <v>327</v>
      </c>
      <c r="F346" s="221" t="s">
        <v>328</v>
      </c>
      <c r="G346" s="221" t="s">
        <v>329</v>
      </c>
      <c r="H346" s="221" t="n">
        <v>2005</v>
      </c>
      <c r="I346" s="221" t="n">
        <v>2006</v>
      </c>
      <c r="J346" s="221" t="n">
        <v>2007</v>
      </c>
      <c r="K346" s="221" t="n">
        <v>2008</v>
      </c>
      <c r="L346" s="221" t="n">
        <v>2009</v>
      </c>
      <c r="M346" s="221" t="n">
        <v>2010</v>
      </c>
    </row>
    <row r="347" customFormat="false" ht="13.5" hidden="false" customHeight="false" outlineLevel="0" collapsed="false">
      <c r="A347" s="222" t="s">
        <v>304</v>
      </c>
      <c r="B347" s="222"/>
      <c r="C347" s="222"/>
      <c r="D347" s="222"/>
      <c r="E347" s="222"/>
      <c r="F347" s="222"/>
      <c r="G347" s="222"/>
      <c r="H347" s="223" t="n">
        <f aca="false">+H323+H331+H339</f>
        <v>228.9296904</v>
      </c>
      <c r="I347" s="223" t="n">
        <f aca="false">+I323+I331+I339</f>
        <v>303.0704004</v>
      </c>
      <c r="J347" s="223" t="n">
        <f aca="false">+J323+J331+J339</f>
        <v>306.6898821</v>
      </c>
      <c r="K347" s="223" t="n">
        <f aca="false">+K323+K331+K339</f>
        <v>281.3985504</v>
      </c>
      <c r="L347" s="223" t="n">
        <f aca="false">+L323+L331+L339</f>
        <v>290.3165034</v>
      </c>
      <c r="M347" s="223" t="n">
        <f aca="false">+M323+M331+M339</f>
        <v>245.7098358</v>
      </c>
    </row>
    <row r="348" customFormat="false" ht="13.5" hidden="false" customHeight="false" outlineLevel="0" collapsed="false">
      <c r="A348" s="222" t="s">
        <v>305</v>
      </c>
      <c r="B348" s="222"/>
      <c r="C348" s="222"/>
      <c r="D348" s="222"/>
      <c r="E348" s="222"/>
      <c r="F348" s="222"/>
      <c r="G348" s="222"/>
      <c r="H348" s="223" t="n">
        <f aca="false">+H324+H332+H340</f>
        <v>232.500652</v>
      </c>
      <c r="I348" s="223" t="n">
        <f aca="false">+I324+I332+I340</f>
        <v>246.458004</v>
      </c>
      <c r="J348" s="223" t="n">
        <f aca="false">+J324+J332+J340</f>
        <v>199.2776856</v>
      </c>
      <c r="K348" s="223" t="n">
        <f aca="false">+K324+K332+K340</f>
        <v>213.702984</v>
      </c>
      <c r="L348" s="223" t="n">
        <f aca="false">+L324+L332+L340</f>
        <v>253.4004066</v>
      </c>
      <c r="M348" s="223" t="n">
        <f aca="false">+M324+M332+M340</f>
        <v>237.434076</v>
      </c>
    </row>
    <row r="349" customFormat="false" ht="13.5" hidden="false" customHeight="false" outlineLevel="0" collapsed="false">
      <c r="A349" s="222" t="s">
        <v>306</v>
      </c>
      <c r="B349" s="222"/>
      <c r="C349" s="222"/>
      <c r="D349" s="222"/>
      <c r="E349" s="222"/>
      <c r="F349" s="222"/>
      <c r="G349" s="222"/>
      <c r="H349" s="223" t="n">
        <f aca="false">+H325+H333+H341</f>
        <v>586.351223693023</v>
      </c>
      <c r="I349" s="223" t="n">
        <f aca="false">+I325+I333+I341</f>
        <v>571.363629693023</v>
      </c>
      <c r="J349" s="223" t="n">
        <f aca="false">+J325+J333+J341</f>
        <v>544.828756293023</v>
      </c>
      <c r="K349" s="223" t="n">
        <f aca="false">+K325+K333+K341</f>
        <v>527.132836893023</v>
      </c>
      <c r="L349" s="223" t="n">
        <f aca="false">+L325+L333+L341</f>
        <v>487.684613793023</v>
      </c>
      <c r="M349" s="223" t="n">
        <f aca="false">+M325+M333+M341</f>
        <v>511.736729793023</v>
      </c>
    </row>
    <row r="350" customFormat="false" ht="13.5" hidden="false" customHeight="false" outlineLevel="0" collapsed="false">
      <c r="A350" s="222" t="s">
        <v>307</v>
      </c>
      <c r="B350" s="222"/>
      <c r="C350" s="222"/>
      <c r="D350" s="222"/>
      <c r="E350" s="222"/>
      <c r="F350" s="222"/>
      <c r="G350" s="222"/>
      <c r="H350" s="223" t="n">
        <f aca="false">+H326+H334+H342</f>
        <v>144.606923125581</v>
      </c>
      <c r="I350" s="223" t="n">
        <f aca="false">+I326+I334+I342</f>
        <v>122.494643925581</v>
      </c>
      <c r="J350" s="223" t="n">
        <f aca="false">+J326+J334+J342</f>
        <v>127.321047525581</v>
      </c>
      <c r="K350" s="223" t="n">
        <f aca="false">+K326+K334+K342</f>
        <v>109.994565525581</v>
      </c>
      <c r="L350" s="223" t="n">
        <f aca="false">+L326+L334+L342</f>
        <v>100.762185225581</v>
      </c>
      <c r="M350" s="223" t="n">
        <f aca="false">+M326+M334+M342</f>
        <v>96.9855959255814</v>
      </c>
    </row>
    <row r="351" customFormat="false" ht="13.5" hidden="false" customHeight="false" outlineLevel="0" collapsed="false">
      <c r="A351" s="222" t="s">
        <v>311</v>
      </c>
      <c r="B351" s="222"/>
      <c r="C351" s="222"/>
      <c r="D351" s="222"/>
      <c r="E351" s="222"/>
      <c r="F351" s="222"/>
      <c r="G351" s="222"/>
      <c r="H351" s="223" t="n">
        <f aca="false">+H327+H335+H343</f>
        <v>231.483873</v>
      </c>
      <c r="I351" s="223" t="n">
        <f aca="false">+I327+I335+I343</f>
        <v>193.7317428</v>
      </c>
      <c r="J351" s="223" t="n">
        <f aca="false">+J327+J335+J343</f>
        <v>147.2002392</v>
      </c>
      <c r="K351" s="223" t="n">
        <f aca="false">+K327+K335+K343</f>
        <v>229.088904</v>
      </c>
      <c r="L351" s="223" t="n">
        <f aca="false">+L327+L335+L343</f>
        <v>196.7753139</v>
      </c>
      <c r="M351" s="223" t="n">
        <f aca="false">+M327+M335+M343</f>
        <v>191.6731443</v>
      </c>
    </row>
    <row r="352" customFormat="false" ht="13.5" hidden="false" customHeight="false" outlineLevel="0" collapsed="false">
      <c r="A352" s="222" t="s">
        <v>247</v>
      </c>
      <c r="B352" s="222"/>
      <c r="C352" s="222"/>
      <c r="D352" s="222"/>
      <c r="E352" s="222"/>
      <c r="F352" s="222"/>
      <c r="G352" s="222"/>
      <c r="H352" s="223" t="n">
        <f aca="false">+H328+H336+H344</f>
        <v>104.846369</v>
      </c>
      <c r="I352" s="223" t="n">
        <f aca="false">+I328+I336+I344</f>
        <v>88.6107864</v>
      </c>
      <c r="J352" s="223" t="n">
        <f aca="false">+J328+J336+J344</f>
        <v>115.7192652</v>
      </c>
      <c r="K352" s="223" t="n">
        <f aca="false">+K328+K336+K344</f>
        <v>80.9142224</v>
      </c>
      <c r="L352" s="223" t="n">
        <f aca="false">+L328+L336+L344</f>
        <v>97.9682715</v>
      </c>
      <c r="M352" s="223" t="n">
        <f aca="false">+M328+M336+M344</f>
        <v>85.2264171</v>
      </c>
    </row>
    <row r="353" customFormat="false" ht="13.5" hidden="false" customHeight="false" outlineLevel="0" collapsed="false">
      <c r="A353" s="224" t="n">
        <v>1000</v>
      </c>
      <c r="B353" s="224"/>
      <c r="C353" s="224"/>
      <c r="D353" s="224"/>
      <c r="E353" s="224"/>
      <c r="F353" s="224"/>
      <c r="G353" s="224"/>
      <c r="H353" s="223" t="n">
        <f aca="false">SUM(H347:H352)</f>
        <v>1528.7187312186</v>
      </c>
      <c r="I353" s="223" t="n">
        <f aca="false">SUM(I347:I352)</f>
        <v>1525.7292072186</v>
      </c>
      <c r="J353" s="223" t="n">
        <f aca="false">SUM(J347:J352)</f>
        <v>1441.03687591861</v>
      </c>
      <c r="K353" s="223" t="n">
        <f aca="false">SUM(K347:K352)</f>
        <v>1442.2320632186</v>
      </c>
      <c r="L353" s="223" t="n">
        <f aca="false">SUM(L347:L352)</f>
        <v>1426.9072944186</v>
      </c>
      <c r="M353" s="223" t="n">
        <f aca="false">SUM(M347:M352)</f>
        <v>1368.7657989186</v>
      </c>
    </row>
  </sheetData>
  <mergeCells count="25">
    <mergeCell ref="B3:G3"/>
    <mergeCell ref="M20:Q20"/>
    <mergeCell ref="S20:W20"/>
    <mergeCell ref="Y20:AC20"/>
    <mergeCell ref="B26:C26"/>
    <mergeCell ref="D26:E26"/>
    <mergeCell ref="F26:G26"/>
    <mergeCell ref="N56:S56"/>
    <mergeCell ref="H57:M57"/>
    <mergeCell ref="N57:S57"/>
    <mergeCell ref="H87:M87"/>
    <mergeCell ref="N87:S87"/>
    <mergeCell ref="T92:X92"/>
    <mergeCell ref="Z92:AD92"/>
    <mergeCell ref="H117:M117"/>
    <mergeCell ref="H148:M148"/>
    <mergeCell ref="N148:S148"/>
    <mergeCell ref="T153:X153"/>
    <mergeCell ref="Z153:AD153"/>
    <mergeCell ref="H178:M178"/>
    <mergeCell ref="H209:M209"/>
    <mergeCell ref="N209:S209"/>
    <mergeCell ref="T228:X228"/>
    <mergeCell ref="Z228:AD228"/>
    <mergeCell ref="H239:M239"/>
  </mergeCells>
  <dataValidations count="1">
    <dataValidation allowBlank="true" operator="between" showDropDown="false" showErrorMessage="true" showInputMessage="true" sqref="A17:A22 B59:B84" type="list">
      <formula1>tipologia</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12.xml><?xml version="1.0" encoding="utf-8"?>
<worksheet xmlns="http://schemas.openxmlformats.org/spreadsheetml/2006/main" xmlns:r="http://schemas.openxmlformats.org/officeDocument/2006/relationships">
  <sheetPr filterMode="false">
    <tabColor rgb="FF92D050"/>
    <pageSetUpPr fitToPage="false"/>
  </sheetPr>
  <dimension ref="A1:AL155"/>
  <sheetViews>
    <sheetView windowProtection="false"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G40" activeCellId="0" sqref="G40"/>
    </sheetView>
  </sheetViews>
  <sheetFormatPr defaultRowHeight="12.75"/>
  <cols>
    <col collapsed="false" hidden="false" max="1" min="1" style="227" width="32.265306122449"/>
    <col collapsed="false" hidden="false" max="2" min="2" style="227" width="17.280612244898"/>
    <col collapsed="false" hidden="false" max="3" min="3" style="227" width="69.6581632653061"/>
    <col collapsed="false" hidden="false" max="6" min="4" style="227" width="16.8724489795918"/>
    <col collapsed="false" hidden="false" max="7" min="7" style="227" width="13.2295918367347"/>
    <col collapsed="false" hidden="false" max="8" min="8" style="227" width="13.9030612244898"/>
    <col collapsed="false" hidden="false" max="9" min="9" style="227" width="12.9591836734694"/>
    <col collapsed="false" hidden="false" max="10" min="10" style="227" width="13.6326530612245"/>
    <col collapsed="false" hidden="false" max="11" min="11" style="227" width="12.1479591836735"/>
    <col collapsed="false" hidden="false" max="12" min="12" style="227" width="19.0357142857143"/>
    <col collapsed="false" hidden="false" max="1025" min="13" style="227" width="11.2040816326531"/>
  </cols>
  <sheetData>
    <row r="1" s="73" customFormat="true" ht="13.5" hidden="false" customHeight="false" outlineLevel="0" collapsed="false">
      <c r="A1" s="83" t="str">
        <f aca="false">'0.DADES'!D2</f>
        <v>Andratx</v>
      </c>
      <c r="J1" s="177" t="s">
        <v>166</v>
      </c>
      <c r="M1" s="182"/>
      <c r="N1" s="182" t="n">
        <f aca="false">'0.DADES'!D8</f>
        <v>2005</v>
      </c>
      <c r="O1" s="182" t="n">
        <f aca="false">'0.DADES'!E8</f>
        <v>2006</v>
      </c>
      <c r="P1" s="182" t="n">
        <f aca="false">'0.DADES'!F8</f>
        <v>2007</v>
      </c>
      <c r="Q1" s="182" t="n">
        <f aca="false">'0.DADES'!G8</f>
        <v>2008</v>
      </c>
      <c r="R1" s="182" t="n">
        <f aca="false">'0.DADES'!H8</f>
        <v>2009</v>
      </c>
      <c r="S1" s="182" t="n">
        <f aca="false">'0.DADES'!I8</f>
        <v>2010</v>
      </c>
    </row>
    <row r="2" customFormat="false" ht="13.5" hidden="false" customHeight="false" outlineLevel="0" collapsed="false">
      <c r="B2" s="73"/>
      <c r="C2" s="73"/>
      <c r="D2" s="73"/>
      <c r="E2" s="73"/>
      <c r="F2" s="73"/>
      <c r="G2" s="73"/>
      <c r="H2" s="73"/>
      <c r="I2" s="73"/>
      <c r="J2" s="107" t="s">
        <v>167</v>
      </c>
      <c r="M2" s="182" t="s">
        <v>402</v>
      </c>
      <c r="N2" s="182" t="n">
        <f aca="false">'0.DADES'!D13</f>
        <v>11037</v>
      </c>
      <c r="O2" s="182" t="n">
        <f aca="false">'0.DADES'!E13</f>
        <v>11594</v>
      </c>
      <c r="P2" s="182" t="n">
        <f aca="false">'0.DADES'!F13</f>
        <v>12091</v>
      </c>
      <c r="Q2" s="182" t="n">
        <f aca="false">'0.DADES'!G13</f>
        <v>12406</v>
      </c>
      <c r="R2" s="182" t="n">
        <f aca="false">'0.DADES'!H13</f>
        <v>12789</v>
      </c>
      <c r="S2" s="182" t="n">
        <f aca="false">'0.DADES'!I13</f>
        <v>12731</v>
      </c>
    </row>
    <row r="3" customFormat="false" ht="24" hidden="false" customHeight="false" outlineLevel="0" collapsed="false">
      <c r="A3" s="103" t="s">
        <v>168</v>
      </c>
      <c r="B3" s="77" t="s">
        <v>38</v>
      </c>
      <c r="C3" s="77"/>
      <c r="D3" s="77"/>
      <c r="E3" s="77"/>
      <c r="F3" s="77"/>
      <c r="G3" s="77"/>
      <c r="H3" s="77"/>
      <c r="J3" s="108" t="s">
        <v>170</v>
      </c>
    </row>
    <row r="4" s="176" customFormat="true" ht="13.5" hidden="false" customHeight="false" outlineLevel="0" collapsed="false"/>
    <row r="5" s="176" customFormat="true" ht="13.5" hidden="false" customHeight="false" outlineLevel="0" collapsed="false">
      <c r="A5" s="194" t="s">
        <v>403</v>
      </c>
    </row>
    <row r="6" s="176" customFormat="true" ht="13.5" hidden="false" customHeight="false" outlineLevel="0" collapsed="false">
      <c r="A6" s="178"/>
      <c r="B6" s="179" t="n">
        <f aca="false">'0.DADES'!D8</f>
        <v>2005</v>
      </c>
      <c r="C6" s="179" t="n">
        <f aca="false">'0.DADES'!E8</f>
        <v>2006</v>
      </c>
      <c r="D6" s="179" t="n">
        <f aca="false">'0.DADES'!F8</f>
        <v>2007</v>
      </c>
      <c r="E6" s="179" t="n">
        <f aca="false">'0.DADES'!G8</f>
        <v>2008</v>
      </c>
      <c r="F6" s="179" t="n">
        <f aca="false">'0.DADES'!H8</f>
        <v>2009</v>
      </c>
      <c r="G6" s="179" t="n">
        <f aca="false">'0.DADES'!I8</f>
        <v>2010</v>
      </c>
      <c r="H6" s="179" t="s">
        <v>295</v>
      </c>
      <c r="I6" s="1"/>
      <c r="J6" s="1"/>
      <c r="K6" s="178"/>
      <c r="L6" s="178"/>
      <c r="M6" s="178"/>
      <c r="N6" s="178"/>
      <c r="O6" s="178"/>
      <c r="P6" s="178"/>
      <c r="Q6" s="178"/>
      <c r="R6" s="178"/>
    </row>
    <row r="7" s="176" customFormat="true" ht="13.5" hidden="false" customHeight="false" outlineLevel="0" collapsed="false">
      <c r="A7" s="180" t="s">
        <v>404</v>
      </c>
      <c r="B7" s="153" t="n">
        <v>2781</v>
      </c>
      <c r="C7" s="153" t="n">
        <v>2781</v>
      </c>
      <c r="D7" s="153" t="n">
        <v>2781</v>
      </c>
      <c r="E7" s="153" t="n">
        <v>2781</v>
      </c>
      <c r="F7" s="153" t="n">
        <v>2781</v>
      </c>
      <c r="G7" s="153" t="n">
        <v>2781</v>
      </c>
      <c r="H7" s="228" t="n">
        <f aca="false">(F7-G7)/F7</f>
        <v>0</v>
      </c>
      <c r="I7" s="229"/>
      <c r="J7" s="1"/>
      <c r="K7" s="178"/>
      <c r="L7" s="178"/>
      <c r="M7" s="178"/>
      <c r="N7" s="178"/>
      <c r="O7" s="178"/>
      <c r="P7" s="178"/>
      <c r="Q7" s="178"/>
      <c r="R7" s="178"/>
    </row>
    <row r="8" s="176" customFormat="true" ht="13.5" hidden="false" customHeight="false" outlineLevel="0" collapsed="false">
      <c r="A8" s="180" t="s">
        <v>405</v>
      </c>
      <c r="B8" s="153" t="n">
        <v>31</v>
      </c>
      <c r="C8" s="153" t="n">
        <v>31</v>
      </c>
      <c r="D8" s="153" t="n">
        <v>31</v>
      </c>
      <c r="E8" s="153" t="n">
        <v>31</v>
      </c>
      <c r="F8" s="153" t="n">
        <v>31</v>
      </c>
      <c r="G8" s="153" t="n">
        <v>31</v>
      </c>
      <c r="H8" s="228" t="n">
        <f aca="false">(F8-G8)/F8</f>
        <v>0</v>
      </c>
      <c r="I8" s="229"/>
      <c r="J8" s="1"/>
      <c r="K8" s="178"/>
      <c r="L8" s="178"/>
      <c r="M8" s="178"/>
      <c r="N8" s="178"/>
      <c r="O8" s="178"/>
      <c r="P8" s="178"/>
      <c r="Q8" s="178"/>
      <c r="R8" s="178"/>
    </row>
    <row r="9" s="176" customFormat="true" ht="13.5" hidden="false" customHeight="false" outlineLevel="0" collapsed="false">
      <c r="A9" s="180" t="s">
        <v>300</v>
      </c>
      <c r="B9" s="181" t="n">
        <f aca="false">G86</f>
        <v>842619</v>
      </c>
      <c r="C9" s="181" t="n">
        <f aca="false">H86</f>
        <v>1050656</v>
      </c>
      <c r="D9" s="181" t="n">
        <f aca="false">I86</f>
        <v>861382</v>
      </c>
      <c r="E9" s="181" t="n">
        <f aca="false">J86</f>
        <v>1044848</v>
      </c>
      <c r="F9" s="181" t="n">
        <f aca="false">K86</f>
        <v>970463</v>
      </c>
      <c r="G9" s="181" t="n">
        <f aca="false">L86</f>
        <v>820541</v>
      </c>
      <c r="H9" s="228" t="n">
        <f aca="false">(F9-G9)/F9</f>
        <v>0.154485024158572</v>
      </c>
      <c r="I9" s="229"/>
      <c r="J9" s="1"/>
      <c r="K9" s="178"/>
      <c r="L9" s="178"/>
      <c r="M9" s="178"/>
      <c r="N9" s="178"/>
      <c r="O9" s="178"/>
      <c r="P9" s="178"/>
      <c r="Q9" s="178"/>
      <c r="R9" s="178"/>
    </row>
    <row r="10" s="176" customFormat="true" ht="13.5" hidden="false" customHeight="false" outlineLevel="0" collapsed="false">
      <c r="A10" s="180" t="s">
        <v>406</v>
      </c>
      <c r="B10" s="181" t="n">
        <f aca="false">B9-$E$155</f>
        <v>835611</v>
      </c>
      <c r="C10" s="181" t="n">
        <f aca="false">C9-$E$155</f>
        <v>1043648</v>
      </c>
      <c r="D10" s="181" t="n">
        <f aca="false">D9-$E$155</f>
        <v>854374</v>
      </c>
      <c r="E10" s="181" t="n">
        <f aca="false">E9-$E$155</f>
        <v>1037840</v>
      </c>
      <c r="F10" s="181" t="n">
        <f aca="false">F9-$E$155</f>
        <v>963455</v>
      </c>
      <c r="G10" s="181" t="n">
        <f aca="false">G9-$E$155</f>
        <v>813533</v>
      </c>
      <c r="H10" s="228" t="n">
        <f aca="false">(F10-G10)/F10</f>
        <v>0.155608720697905</v>
      </c>
      <c r="I10" s="229"/>
      <c r="J10" s="1" t="n">
        <f aca="false">(B10-G10)/1000</f>
        <v>22.078</v>
      </c>
      <c r="K10" s="178"/>
      <c r="L10" s="178"/>
      <c r="M10" s="178"/>
      <c r="N10" s="178"/>
      <c r="O10" s="178"/>
      <c r="P10" s="178"/>
      <c r="Q10" s="178"/>
      <c r="R10" s="178"/>
    </row>
    <row r="11" s="176" customFormat="true" ht="13.5" hidden="false" customHeight="false" outlineLevel="0" collapsed="false">
      <c r="A11" s="180" t="s">
        <v>301</v>
      </c>
      <c r="B11" s="181" t="n">
        <f aca="false">M86</f>
        <v>79592.11</v>
      </c>
      <c r="C11" s="181" t="n">
        <f aca="false">N86</f>
        <v>109524.1</v>
      </c>
      <c r="D11" s="181" t="n">
        <f aca="false">O86</f>
        <v>103170.5</v>
      </c>
      <c r="E11" s="181" t="n">
        <f aca="false">P86</f>
        <v>163479.66</v>
      </c>
      <c r="F11" s="181" t="n">
        <f aca="false">Q86</f>
        <v>159908.972</v>
      </c>
      <c r="G11" s="181" t="n">
        <f aca="false">R86</f>
        <v>143854.11</v>
      </c>
      <c r="H11" s="228" t="n">
        <f aca="false">(F11-G11)/F11</f>
        <v>0.100400007574309</v>
      </c>
      <c r="I11" s="229"/>
      <c r="J11" s="1"/>
      <c r="K11" s="178"/>
      <c r="L11" s="178" t="s">
        <v>407</v>
      </c>
      <c r="M11" s="178"/>
      <c r="N11" s="178"/>
      <c r="O11" s="178"/>
      <c r="P11" s="178"/>
      <c r="Q11" s="178"/>
      <c r="R11" s="178"/>
    </row>
    <row r="12" s="176" customFormat="true" ht="13.5" hidden="false" customHeight="false" outlineLevel="0" collapsed="false">
      <c r="A12" s="180" t="s">
        <v>302</v>
      </c>
      <c r="B12" s="181" t="n">
        <f aca="false">B11/B9</f>
        <v>0.0944580053381184</v>
      </c>
      <c r="C12" s="181" t="n">
        <f aca="false">C11/C9</f>
        <v>0.10424353927451</v>
      </c>
      <c r="D12" s="181" t="n">
        <f aca="false">D11/D9</f>
        <v>0.119773224887448</v>
      </c>
      <c r="E12" s="181" t="n">
        <f aca="false">E11/E9</f>
        <v>0.156462624228596</v>
      </c>
      <c r="F12" s="181" t="n">
        <f aca="false">F11/F9</f>
        <v>0.164775959516231</v>
      </c>
      <c r="G12" s="181" t="n">
        <f aca="false">G11/G9</f>
        <v>0.175316175547596</v>
      </c>
      <c r="H12" s="228" t="n">
        <f aca="false">(F12-G12)/F12</f>
        <v>-0.0639669528389357</v>
      </c>
      <c r="I12" s="229"/>
      <c r="J12" s="1"/>
      <c r="K12" s="178"/>
      <c r="L12" s="178" t="s">
        <v>408</v>
      </c>
      <c r="M12" s="178"/>
      <c r="N12" s="178"/>
      <c r="O12" s="178"/>
      <c r="P12" s="178"/>
      <c r="Q12" s="178"/>
      <c r="R12" s="178"/>
    </row>
    <row r="13" s="176" customFormat="true" ht="13.5" hidden="false" customHeight="false" outlineLevel="0" collapsed="false">
      <c r="A13" s="227"/>
      <c r="B13" s="227"/>
      <c r="C13" s="227"/>
      <c r="D13" s="227"/>
      <c r="E13" s="227"/>
      <c r="F13" s="227"/>
      <c r="G13" s="227"/>
      <c r="H13" s="122"/>
      <c r="I13" s="227"/>
      <c r="J13" s="227"/>
      <c r="K13" s="227"/>
      <c r="L13" s="176" t="s">
        <v>409</v>
      </c>
      <c r="M13" s="227"/>
      <c r="N13" s="227"/>
      <c r="O13" s="227"/>
      <c r="P13" s="227"/>
      <c r="Q13" s="227"/>
      <c r="R13" s="227"/>
    </row>
    <row r="14" s="176" customFormat="true" ht="13.5" hidden="false" customHeight="false" outlineLevel="0" collapsed="false">
      <c r="A14" s="180" t="s">
        <v>410</v>
      </c>
      <c r="B14" s="179" t="n">
        <f aca="false">B7/N2</f>
        <v>0.251970644196793</v>
      </c>
      <c r="C14" s="179" t="n">
        <f aca="false">C7/O2</f>
        <v>0.239865447645334</v>
      </c>
      <c r="D14" s="179" t="n">
        <f aca="false">D7/P2</f>
        <v>0.230005789430155</v>
      </c>
      <c r="E14" s="179" t="n">
        <f aca="false">E7/O2</f>
        <v>0.239865447645334</v>
      </c>
      <c r="F14" s="179" t="n">
        <f aca="false">F7/P2</f>
        <v>0.230005789430155</v>
      </c>
      <c r="G14" s="179" t="n">
        <f aca="false">G7/Q2</f>
        <v>0.224165726261486</v>
      </c>
      <c r="H14" s="228" t="n">
        <f aca="false">H7/R2</f>
        <v>0</v>
      </c>
      <c r="I14" s="1"/>
      <c r="J14" s="227"/>
      <c r="K14" s="227"/>
      <c r="L14" s="227"/>
      <c r="M14" s="227"/>
      <c r="N14" s="227"/>
      <c r="O14" s="227"/>
      <c r="P14" s="227"/>
      <c r="Q14" s="227"/>
      <c r="R14" s="227"/>
    </row>
    <row r="15" s="176" customFormat="true" ht="13.5" hidden="false" customHeight="false" outlineLevel="0" collapsed="false">
      <c r="A15" s="180" t="s">
        <v>411</v>
      </c>
      <c r="B15" s="179" t="n">
        <f aca="false">B9/N2</f>
        <v>76.3449306876869</v>
      </c>
      <c r="C15" s="179" t="n">
        <f aca="false">C9/O2</f>
        <v>90.6206658616526</v>
      </c>
      <c r="D15" s="179" t="n">
        <f aca="false">D9/P2</f>
        <v>71.2415846497395</v>
      </c>
      <c r="E15" s="179" t="n">
        <f aca="false">E9/O2</f>
        <v>90.1197170950492</v>
      </c>
      <c r="F15" s="179" t="n">
        <f aca="false">F9/P2</f>
        <v>80.2632536597469</v>
      </c>
      <c r="G15" s="179" t="n">
        <f aca="false">G9/Q2</f>
        <v>66.1406577462518</v>
      </c>
      <c r="H15" s="228" t="n">
        <f aca="false">H9/R2</f>
        <v>1.20795233527697E-005</v>
      </c>
      <c r="I15" s="1"/>
      <c r="J15" s="227"/>
      <c r="K15" s="227"/>
      <c r="L15" s="227"/>
      <c r="M15" s="227"/>
      <c r="N15" s="227"/>
      <c r="O15" s="227"/>
      <c r="P15" s="227"/>
      <c r="Q15" s="227"/>
      <c r="R15" s="227"/>
    </row>
    <row r="16" customFormat="false" ht="13.5" hidden="false" customHeight="false" outlineLevel="0" collapsed="false">
      <c r="I16" s="187"/>
      <c r="J16" s="187"/>
      <c r="K16" s="187"/>
      <c r="L16" s="187"/>
      <c r="M16" s="187"/>
      <c r="O16" s="187"/>
      <c r="P16" s="187"/>
      <c r="Q16" s="187"/>
      <c r="R16" s="187"/>
      <c r="S16" s="187"/>
      <c r="U16" s="187"/>
      <c r="V16" s="187"/>
      <c r="W16" s="187"/>
      <c r="X16" s="187"/>
      <c r="Y16" s="187"/>
      <c r="AA16" s="187"/>
      <c r="AB16" s="187"/>
      <c r="AC16" s="187"/>
      <c r="AD16" s="187"/>
      <c r="AE16" s="187"/>
      <c r="AF16" s="185"/>
      <c r="AG16" s="186"/>
      <c r="AH16" s="188"/>
      <c r="AI16" s="185"/>
    </row>
    <row r="17" customFormat="false" ht="13.5" hidden="false" customHeight="false" outlineLevel="0" collapsed="false">
      <c r="A17" s="194" t="s">
        <v>412</v>
      </c>
      <c r="G17" s="182" t="s">
        <v>321</v>
      </c>
      <c r="H17" s="182"/>
      <c r="I17" s="182"/>
      <c r="J17" s="182"/>
      <c r="K17" s="182"/>
      <c r="L17" s="182"/>
      <c r="M17" s="182" t="s">
        <v>322</v>
      </c>
      <c r="N17" s="182"/>
      <c r="O17" s="182"/>
      <c r="P17" s="182"/>
      <c r="Q17" s="182"/>
      <c r="R17" s="182"/>
      <c r="S17" s="184"/>
      <c r="T17" s="184"/>
      <c r="U17" s="195"/>
      <c r="V17" s="184"/>
      <c r="W17" s="184"/>
      <c r="X17" s="184"/>
      <c r="Y17" s="184"/>
      <c r="Z17" s="184"/>
      <c r="AA17" s="195"/>
      <c r="AB17" s="184"/>
      <c r="AC17" s="184"/>
      <c r="AD17" s="184"/>
      <c r="AE17" s="184"/>
      <c r="AF17" s="184"/>
      <c r="AG17" s="196"/>
      <c r="AH17" s="197"/>
      <c r="AI17" s="188"/>
      <c r="AJ17" s="196"/>
      <c r="AK17" s="195"/>
      <c r="AL17" s="195"/>
    </row>
    <row r="18" customFormat="false" ht="25.5" hidden="false" customHeight="false" outlineLevel="0" collapsed="false">
      <c r="A18" s="182" t="s">
        <v>413</v>
      </c>
      <c r="B18" s="182" t="s">
        <v>414</v>
      </c>
      <c r="C18" s="182" t="s">
        <v>415</v>
      </c>
      <c r="D18" s="190" t="s">
        <v>416</v>
      </c>
      <c r="E18" s="190" t="s">
        <v>417</v>
      </c>
      <c r="F18" s="190" t="s">
        <v>418</v>
      </c>
      <c r="G18" s="182" t="n">
        <f aca="false">B6</f>
        <v>2005</v>
      </c>
      <c r="H18" s="182" t="n">
        <f aca="false">C6</f>
        <v>2006</v>
      </c>
      <c r="I18" s="182" t="n">
        <f aca="false">D6</f>
        <v>2007</v>
      </c>
      <c r="J18" s="182" t="n">
        <f aca="false">G6</f>
        <v>2010</v>
      </c>
      <c r="K18" s="182" t="n">
        <v>2009</v>
      </c>
      <c r="L18" s="182" t="n">
        <v>2010</v>
      </c>
      <c r="M18" s="182" t="n">
        <f aca="false">G18</f>
        <v>2005</v>
      </c>
      <c r="N18" s="182" t="n">
        <f aca="false">H18</f>
        <v>2006</v>
      </c>
      <c r="O18" s="182" t="n">
        <f aca="false">I18</f>
        <v>2007</v>
      </c>
      <c r="P18" s="182" t="n">
        <f aca="false">J18</f>
        <v>2010</v>
      </c>
      <c r="Q18" s="182" t="n">
        <f aca="false">K18</f>
        <v>2009</v>
      </c>
      <c r="R18" s="182" t="n">
        <f aca="false">L18</f>
        <v>2010</v>
      </c>
      <c r="S18" s="230"/>
      <c r="T18" s="198"/>
      <c r="U18" s="198"/>
      <c r="V18" s="198"/>
      <c r="W18" s="198"/>
      <c r="X18" s="198"/>
      <c r="Y18" s="230"/>
      <c r="Z18" s="198"/>
      <c r="AA18" s="198"/>
      <c r="AB18" s="198"/>
      <c r="AC18" s="198"/>
      <c r="AD18" s="198"/>
      <c r="AE18" s="196"/>
      <c r="AF18" s="199"/>
      <c r="AG18" s="197"/>
      <c r="AH18" s="196"/>
      <c r="AI18" s="195"/>
      <c r="AJ18" s="195"/>
      <c r="AK18" s="195"/>
      <c r="AL18" s="195"/>
    </row>
    <row r="19" customFormat="false" ht="13.5" hidden="false" customHeight="false" outlineLevel="0" collapsed="false">
      <c r="A19" s="200" t="s">
        <v>87</v>
      </c>
      <c r="B19" s="231" t="s">
        <v>419</v>
      </c>
      <c r="C19" s="231" t="s">
        <v>420</v>
      </c>
      <c r="D19" s="231" t="n">
        <v>9900</v>
      </c>
      <c r="E19" s="203" t="s">
        <v>421</v>
      </c>
      <c r="F19" s="203" t="s">
        <v>422</v>
      </c>
      <c r="G19" s="204" t="n">
        <v>2922</v>
      </c>
      <c r="H19" s="204" t="n">
        <v>3044</v>
      </c>
      <c r="I19" s="204" t="n">
        <v>3927</v>
      </c>
      <c r="J19" s="204" t="n">
        <v>3669</v>
      </c>
      <c r="K19" s="204" t="n">
        <v>3642</v>
      </c>
      <c r="L19" s="204" t="n">
        <v>3226</v>
      </c>
      <c r="M19" s="204" t="n">
        <v>527.91</v>
      </c>
      <c r="N19" s="204" t="n">
        <v>564.06</v>
      </c>
      <c r="O19" s="204" t="n">
        <v>682.3</v>
      </c>
      <c r="P19" s="204" t="n">
        <v>693.98</v>
      </c>
      <c r="Q19" s="204" t="n">
        <v>749.76</v>
      </c>
      <c r="R19" s="204" t="n">
        <v>744.21</v>
      </c>
      <c r="S19" s="232"/>
      <c r="T19" s="195"/>
      <c r="U19" s="195"/>
      <c r="V19" s="195"/>
      <c r="W19" s="195"/>
      <c r="X19" s="195"/>
      <c r="Y19" s="232"/>
      <c r="Z19" s="206"/>
      <c r="AA19" s="206"/>
      <c r="AB19" s="206"/>
      <c r="AC19" s="206"/>
      <c r="AD19" s="206"/>
      <c r="AE19" s="196"/>
      <c r="AF19" s="199"/>
      <c r="AG19" s="197"/>
      <c r="AH19" s="196"/>
      <c r="AI19" s="196"/>
      <c r="AJ19" s="195"/>
      <c r="AK19" s="195"/>
      <c r="AL19" s="195"/>
    </row>
    <row r="20" customFormat="false" ht="13.5" hidden="false" customHeight="false" outlineLevel="0" collapsed="false">
      <c r="A20" s="200" t="s">
        <v>87</v>
      </c>
      <c r="B20" s="231" t="s">
        <v>423</v>
      </c>
      <c r="C20" s="231" t="s">
        <v>424</v>
      </c>
      <c r="D20" s="231" t="n">
        <v>9698</v>
      </c>
      <c r="E20" s="203" t="s">
        <v>421</v>
      </c>
      <c r="F20" s="203" t="s">
        <v>422</v>
      </c>
      <c r="G20" s="204" t="n">
        <v>0</v>
      </c>
      <c r="H20" s="204" t="n">
        <v>0</v>
      </c>
      <c r="I20" s="204" t="n">
        <v>0</v>
      </c>
      <c r="J20" s="204" t="n">
        <v>0</v>
      </c>
      <c r="K20" s="204" t="n">
        <v>0</v>
      </c>
      <c r="L20" s="204" t="n">
        <v>10128</v>
      </c>
      <c r="M20" s="204" t="n">
        <v>0</v>
      </c>
      <c r="N20" s="204" t="n">
        <v>0</v>
      </c>
      <c r="O20" s="204" t="n">
        <v>0</v>
      </c>
      <c r="P20" s="204" t="n">
        <v>0</v>
      </c>
      <c r="Q20" s="204" t="n">
        <v>0</v>
      </c>
      <c r="R20" s="204" t="n">
        <v>1706.75</v>
      </c>
      <c r="S20" s="232"/>
      <c r="T20" s="195"/>
      <c r="U20" s="195"/>
      <c r="V20" s="195"/>
      <c r="W20" s="195"/>
      <c r="X20" s="195"/>
      <c r="Y20" s="232"/>
      <c r="Z20" s="206"/>
      <c r="AA20" s="206"/>
      <c r="AB20" s="206"/>
      <c r="AC20" s="206"/>
      <c r="AD20" s="206"/>
      <c r="AE20" s="196"/>
      <c r="AF20" s="199"/>
      <c r="AG20" s="197"/>
      <c r="AH20" s="196"/>
      <c r="AI20" s="196"/>
      <c r="AJ20" s="195"/>
      <c r="AK20" s="195"/>
      <c r="AL20" s="195"/>
    </row>
    <row r="21" customFormat="false" ht="13.5" hidden="false" customHeight="false" outlineLevel="0" collapsed="false">
      <c r="A21" s="200" t="s">
        <v>87</v>
      </c>
      <c r="B21" s="231" t="s">
        <v>425</v>
      </c>
      <c r="C21" s="231" t="s">
        <v>426</v>
      </c>
      <c r="D21" s="231" t="n">
        <v>4950</v>
      </c>
      <c r="E21" s="203" t="s">
        <v>421</v>
      </c>
      <c r="F21" s="203" t="s">
        <v>422</v>
      </c>
      <c r="G21" s="204" t="n">
        <v>26384</v>
      </c>
      <c r="H21" s="204" t="n">
        <v>31964</v>
      </c>
      <c r="I21" s="204" t="n">
        <v>21390</v>
      </c>
      <c r="J21" s="204" t="n">
        <v>39964</v>
      </c>
      <c r="K21" s="204" t="n">
        <v>35840</v>
      </c>
      <c r="L21" s="204" t="n">
        <v>37634</v>
      </c>
      <c r="M21" s="204" t="n">
        <v>2794.86</v>
      </c>
      <c r="N21" s="204" t="n">
        <v>3501.68</v>
      </c>
      <c r="O21" s="204" t="n">
        <v>2156.72</v>
      </c>
      <c r="P21" s="204" t="n">
        <v>6084.67</v>
      </c>
      <c r="Q21" s="204" t="n">
        <v>5929.23</v>
      </c>
      <c r="R21" s="204" t="n">
        <v>6182.58</v>
      </c>
      <c r="S21" s="232"/>
      <c r="T21" s="211"/>
      <c r="U21" s="211"/>
      <c r="V21" s="211"/>
      <c r="W21" s="211"/>
      <c r="X21" s="211"/>
      <c r="Y21" s="232"/>
      <c r="Z21" s="206"/>
      <c r="AA21" s="206"/>
      <c r="AB21" s="206"/>
      <c r="AC21" s="206"/>
      <c r="AD21" s="206"/>
      <c r="AE21" s="196"/>
      <c r="AF21" s="199"/>
      <c r="AG21" s="197"/>
      <c r="AH21" s="196"/>
      <c r="AI21" s="196"/>
      <c r="AJ21" s="195"/>
      <c r="AK21" s="195"/>
      <c r="AL21" s="195"/>
    </row>
    <row r="22" customFormat="false" ht="13.5" hidden="false" customHeight="false" outlineLevel="0" collapsed="false">
      <c r="A22" s="200" t="s">
        <v>87</v>
      </c>
      <c r="B22" s="231" t="s">
        <v>427</v>
      </c>
      <c r="C22" s="231" t="s">
        <v>428</v>
      </c>
      <c r="D22" s="231" t="n">
        <v>13200</v>
      </c>
      <c r="E22" s="203" t="s">
        <v>421</v>
      </c>
      <c r="F22" s="203" t="s">
        <v>422</v>
      </c>
      <c r="G22" s="204" t="n">
        <v>18717</v>
      </c>
      <c r="H22" s="204" t="n">
        <v>23117</v>
      </c>
      <c r="I22" s="204" t="n">
        <v>19426</v>
      </c>
      <c r="J22" s="204" t="n">
        <v>21115</v>
      </c>
      <c r="K22" s="204" t="n">
        <v>21270</v>
      </c>
      <c r="L22" s="204" t="n">
        <v>22585</v>
      </c>
      <c r="M22" s="204" t="n">
        <v>2094.62</v>
      </c>
      <c r="N22" s="204" t="n">
        <v>3058.5</v>
      </c>
      <c r="O22" s="204" t="n">
        <v>2776.93</v>
      </c>
      <c r="P22" s="204" t="n">
        <v>4127.86</v>
      </c>
      <c r="Q22" s="204" t="n">
        <v>4500.66</v>
      </c>
      <c r="R22" s="204" t="n">
        <v>5115.39</v>
      </c>
      <c r="S22" s="232"/>
      <c r="T22" s="211"/>
      <c r="U22" s="211"/>
      <c r="V22" s="211"/>
      <c r="W22" s="211"/>
      <c r="X22" s="211"/>
      <c r="Y22" s="232"/>
      <c r="Z22" s="206"/>
      <c r="AA22" s="206"/>
      <c r="AB22" s="206"/>
      <c r="AC22" s="206"/>
      <c r="AD22" s="206"/>
      <c r="AE22" s="196"/>
      <c r="AF22" s="199"/>
      <c r="AG22" s="197"/>
      <c r="AH22" s="196"/>
      <c r="AI22" s="196"/>
      <c r="AJ22" s="195"/>
      <c r="AK22" s="195"/>
      <c r="AL22" s="195"/>
    </row>
    <row r="23" customFormat="false" ht="13.5" hidden="false" customHeight="false" outlineLevel="0" collapsed="false">
      <c r="A23" s="200" t="s">
        <v>87</v>
      </c>
      <c r="B23" s="231" t="s">
        <v>429</v>
      </c>
      <c r="C23" s="231" t="s">
        <v>430</v>
      </c>
      <c r="D23" s="231" t="n">
        <v>16500</v>
      </c>
      <c r="E23" s="203" t="s">
        <v>421</v>
      </c>
      <c r="F23" s="203" t="s">
        <v>422</v>
      </c>
      <c r="G23" s="204" t="n">
        <v>22406</v>
      </c>
      <c r="H23" s="204" t="n">
        <v>47778</v>
      </c>
      <c r="I23" s="204" t="n">
        <v>33528</v>
      </c>
      <c r="J23" s="204" t="n">
        <v>46608</v>
      </c>
      <c r="K23" s="204" t="n">
        <v>49930</v>
      </c>
      <c r="L23" s="204" t="n">
        <v>45337</v>
      </c>
      <c r="M23" s="204" t="n">
        <v>2141.86</v>
      </c>
      <c r="N23" s="204" t="n">
        <v>5182.67</v>
      </c>
      <c r="O23" s="204" t="n">
        <v>4678.92</v>
      </c>
      <c r="P23" s="204" t="n">
        <v>7340.08</v>
      </c>
      <c r="Q23" s="204" t="n">
        <v>7049.841</v>
      </c>
      <c r="R23" s="204" t="n">
        <v>7989.97</v>
      </c>
      <c r="S23" s="232"/>
      <c r="T23" s="211"/>
      <c r="U23" s="211"/>
      <c r="V23" s="211"/>
      <c r="W23" s="211"/>
      <c r="X23" s="211"/>
      <c r="Y23" s="232"/>
      <c r="Z23" s="206"/>
      <c r="AA23" s="206"/>
      <c r="AB23" s="206"/>
      <c r="AC23" s="206"/>
      <c r="AD23" s="206"/>
      <c r="AE23" s="196"/>
      <c r="AF23" s="199"/>
      <c r="AG23" s="197"/>
      <c r="AH23" s="196"/>
      <c r="AI23" s="196"/>
      <c r="AJ23" s="195"/>
      <c r="AK23" s="195"/>
      <c r="AL23" s="195"/>
    </row>
    <row r="24" customFormat="false" ht="13.5" hidden="false" customHeight="false" outlineLevel="0" collapsed="false">
      <c r="A24" s="200" t="s">
        <v>87</v>
      </c>
      <c r="B24" s="231" t="s">
        <v>431</v>
      </c>
      <c r="C24" s="231" t="s">
        <v>432</v>
      </c>
      <c r="D24" s="231" t="n">
        <v>34641</v>
      </c>
      <c r="E24" s="203" t="s">
        <v>421</v>
      </c>
      <c r="F24" s="203" t="s">
        <v>422</v>
      </c>
      <c r="G24" s="204" t="n">
        <v>34403</v>
      </c>
      <c r="H24" s="204" t="n">
        <v>38370</v>
      </c>
      <c r="I24" s="204" t="n">
        <v>16088</v>
      </c>
      <c r="J24" s="204" t="n">
        <v>62370</v>
      </c>
      <c r="K24" s="204" t="n">
        <v>43761</v>
      </c>
      <c r="L24" s="204" t="n">
        <v>41348</v>
      </c>
      <c r="M24" s="204" t="n">
        <v>3365.62</v>
      </c>
      <c r="N24" s="204" t="n">
        <v>4164.44</v>
      </c>
      <c r="O24" s="204" t="n">
        <v>2401.48</v>
      </c>
      <c r="P24" s="204" t="n">
        <v>9905.39</v>
      </c>
      <c r="Q24" s="204" t="n">
        <v>6845.36</v>
      </c>
      <c r="R24" s="204" t="n">
        <v>7986.88</v>
      </c>
      <c r="S24" s="232"/>
      <c r="T24" s="211"/>
      <c r="U24" s="211"/>
      <c r="V24" s="211"/>
      <c r="W24" s="211"/>
      <c r="X24" s="211"/>
      <c r="Y24" s="232"/>
      <c r="Z24" s="206"/>
      <c r="AA24" s="206"/>
      <c r="AB24" s="206"/>
      <c r="AC24" s="206"/>
      <c r="AD24" s="206"/>
      <c r="AE24" s="196"/>
      <c r="AF24" s="199"/>
      <c r="AG24" s="197"/>
      <c r="AH24" s="196"/>
      <c r="AI24" s="196"/>
      <c r="AJ24" s="195"/>
      <c r="AK24" s="195"/>
      <c r="AL24" s="195"/>
    </row>
    <row r="25" customFormat="false" ht="13.5" hidden="false" customHeight="false" outlineLevel="0" collapsed="false">
      <c r="A25" s="200" t="s">
        <v>87</v>
      </c>
      <c r="B25" s="231" t="s">
        <v>433</v>
      </c>
      <c r="C25" s="231" t="s">
        <v>434</v>
      </c>
      <c r="D25" s="231" t="n">
        <v>13200</v>
      </c>
      <c r="E25" s="203" t="s">
        <v>421</v>
      </c>
      <c r="F25" s="203" t="s">
        <v>422</v>
      </c>
      <c r="G25" s="204" t="n">
        <v>24589</v>
      </c>
      <c r="H25" s="204" t="n">
        <v>26970</v>
      </c>
      <c r="I25" s="204" t="n">
        <v>21518</v>
      </c>
      <c r="J25" s="204" t="n">
        <v>25497</v>
      </c>
      <c r="K25" s="204" t="n">
        <v>25202</v>
      </c>
      <c r="L25" s="204" t="n">
        <v>26972</v>
      </c>
      <c r="M25" s="204" t="n">
        <v>2604.82</v>
      </c>
      <c r="N25" s="204" t="n">
        <v>3513.55</v>
      </c>
      <c r="O25" s="204" t="n">
        <v>3029.59</v>
      </c>
      <c r="P25" s="204" t="n">
        <v>4980.85</v>
      </c>
      <c r="Q25" s="204" t="n">
        <v>5332.83</v>
      </c>
      <c r="R25" s="204" t="n">
        <v>5937.36</v>
      </c>
      <c r="S25" s="232"/>
      <c r="T25" s="211"/>
      <c r="U25" s="211"/>
      <c r="V25" s="211"/>
      <c r="W25" s="211"/>
      <c r="X25" s="211"/>
      <c r="Y25" s="232"/>
      <c r="Z25" s="206"/>
      <c r="AA25" s="206"/>
      <c r="AB25" s="206"/>
      <c r="AC25" s="206"/>
      <c r="AD25" s="206"/>
      <c r="AE25" s="196"/>
      <c r="AF25" s="199"/>
      <c r="AG25" s="197"/>
      <c r="AH25" s="196"/>
      <c r="AI25" s="196"/>
      <c r="AJ25" s="195"/>
      <c r="AK25" s="195"/>
      <c r="AL25" s="195"/>
    </row>
    <row r="26" customFormat="false" ht="13.5" hidden="false" customHeight="false" outlineLevel="0" collapsed="false">
      <c r="A26" s="200" t="s">
        <v>87</v>
      </c>
      <c r="B26" s="231" t="s">
        <v>435</v>
      </c>
      <c r="C26" s="231" t="s">
        <v>436</v>
      </c>
      <c r="D26" s="231" t="n">
        <v>23100</v>
      </c>
      <c r="E26" s="203" t="s">
        <v>421</v>
      </c>
      <c r="F26" s="203" t="s">
        <v>422</v>
      </c>
      <c r="G26" s="204" t="n">
        <v>48054</v>
      </c>
      <c r="H26" s="204" t="n">
        <v>53479</v>
      </c>
      <c r="I26" s="204" t="n">
        <v>43494</v>
      </c>
      <c r="J26" s="204" t="n">
        <v>49654</v>
      </c>
      <c r="K26" s="204" t="n">
        <v>53638</v>
      </c>
      <c r="L26" s="204" t="n">
        <v>53032</v>
      </c>
      <c r="M26" s="204" t="n">
        <v>4496.99</v>
      </c>
      <c r="N26" s="204" t="n">
        <v>5506.29</v>
      </c>
      <c r="O26" s="204" t="n">
        <v>5998.56</v>
      </c>
      <c r="P26" s="204" t="n">
        <v>8058.84</v>
      </c>
      <c r="Q26" s="204" t="n">
        <v>7653.538</v>
      </c>
      <c r="R26" s="204" t="n">
        <v>9483.21</v>
      </c>
      <c r="S26" s="232"/>
      <c r="T26" s="211"/>
      <c r="U26" s="211"/>
      <c r="V26" s="211"/>
      <c r="W26" s="211"/>
      <c r="X26" s="211"/>
      <c r="Y26" s="232"/>
      <c r="Z26" s="206"/>
      <c r="AA26" s="206"/>
      <c r="AB26" s="206"/>
      <c r="AC26" s="206"/>
      <c r="AD26" s="206"/>
      <c r="AE26" s="196"/>
      <c r="AF26" s="199"/>
      <c r="AG26" s="197"/>
      <c r="AH26" s="196"/>
      <c r="AI26" s="196"/>
      <c r="AJ26" s="195"/>
      <c r="AK26" s="195"/>
      <c r="AL26" s="195"/>
    </row>
    <row r="27" customFormat="false" ht="13.5" hidden="false" customHeight="false" outlineLevel="0" collapsed="false">
      <c r="A27" s="200" t="s">
        <v>87</v>
      </c>
      <c r="B27" s="231" t="s">
        <v>437</v>
      </c>
      <c r="C27" s="231" t="s">
        <v>438</v>
      </c>
      <c r="D27" s="231" t="n">
        <v>27713</v>
      </c>
      <c r="E27" s="203" t="s">
        <v>421</v>
      </c>
      <c r="F27" s="203" t="s">
        <v>422</v>
      </c>
      <c r="G27" s="204" t="n">
        <v>62977</v>
      </c>
      <c r="H27" s="204" t="n">
        <v>71984</v>
      </c>
      <c r="I27" s="204" t="n">
        <v>58541</v>
      </c>
      <c r="J27" s="204" t="n">
        <v>67828</v>
      </c>
      <c r="K27" s="204" t="n">
        <v>69304</v>
      </c>
      <c r="L27" s="204" t="n">
        <v>71137</v>
      </c>
      <c r="M27" s="204" t="n">
        <v>6121.46</v>
      </c>
      <c r="N27" s="204" t="n">
        <v>7825.72</v>
      </c>
      <c r="O27" s="204" t="n">
        <v>8114.28</v>
      </c>
      <c r="P27" s="204" t="n">
        <v>11053.18</v>
      </c>
      <c r="Q27" s="204" t="n">
        <v>10238.19</v>
      </c>
      <c r="R27" s="204" t="n">
        <v>12769.14</v>
      </c>
      <c r="S27" s="232"/>
      <c r="T27" s="211"/>
      <c r="U27" s="211"/>
      <c r="V27" s="211"/>
      <c r="W27" s="211"/>
      <c r="X27" s="211"/>
      <c r="Y27" s="232"/>
      <c r="Z27" s="206"/>
      <c r="AA27" s="206"/>
      <c r="AB27" s="206"/>
      <c r="AC27" s="206"/>
      <c r="AD27" s="206"/>
      <c r="AE27" s="196"/>
      <c r="AF27" s="195"/>
      <c r="AG27" s="195"/>
      <c r="AH27" s="196"/>
      <c r="AI27" s="196"/>
      <c r="AJ27" s="195"/>
      <c r="AK27" s="195"/>
      <c r="AL27" s="195"/>
    </row>
    <row r="28" customFormat="false" ht="13.5" hidden="false" customHeight="false" outlineLevel="0" collapsed="false">
      <c r="A28" s="200" t="s">
        <v>87</v>
      </c>
      <c r="B28" s="231" t="s">
        <v>439</v>
      </c>
      <c r="C28" s="231" t="s">
        <v>440</v>
      </c>
      <c r="D28" s="231" t="n">
        <v>13200</v>
      </c>
      <c r="E28" s="203" t="s">
        <v>421</v>
      </c>
      <c r="F28" s="203" t="s">
        <v>422</v>
      </c>
      <c r="G28" s="204" t="n">
        <v>28501</v>
      </c>
      <c r="H28" s="204" t="n">
        <v>31672</v>
      </c>
      <c r="I28" s="204" t="n">
        <v>27703</v>
      </c>
      <c r="J28" s="204" t="n">
        <v>30163</v>
      </c>
      <c r="K28" s="204" t="n">
        <v>29384</v>
      </c>
      <c r="L28" s="204" t="n">
        <v>31264</v>
      </c>
      <c r="M28" s="204" t="n">
        <v>3191.93</v>
      </c>
      <c r="N28" s="204" t="n">
        <v>4157.48</v>
      </c>
      <c r="O28" s="204" t="n">
        <v>3874.8</v>
      </c>
      <c r="P28" s="204" t="n">
        <v>5944.34</v>
      </c>
      <c r="Q28" s="204" t="n">
        <v>6334.37</v>
      </c>
      <c r="R28" s="204" t="n">
        <v>7150.36</v>
      </c>
      <c r="S28" s="232"/>
      <c r="T28" s="211"/>
      <c r="U28" s="211"/>
      <c r="V28" s="211"/>
      <c r="W28" s="211"/>
      <c r="X28" s="211"/>
      <c r="Y28" s="232"/>
      <c r="Z28" s="206"/>
      <c r="AA28" s="206"/>
      <c r="AB28" s="206"/>
      <c r="AC28" s="206"/>
      <c r="AD28" s="206"/>
      <c r="AE28" s="196"/>
      <c r="AF28" s="196"/>
      <c r="AG28" s="196"/>
      <c r="AH28" s="196"/>
      <c r="AI28" s="196"/>
      <c r="AJ28" s="195"/>
      <c r="AK28" s="195"/>
      <c r="AL28" s="195"/>
    </row>
    <row r="29" customFormat="false" ht="13.5" hidden="false" customHeight="false" outlineLevel="0" collapsed="false">
      <c r="A29" s="200" t="s">
        <v>441</v>
      </c>
      <c r="B29" s="231" t="s">
        <v>442</v>
      </c>
      <c r="C29" s="231" t="s">
        <v>443</v>
      </c>
      <c r="D29" s="231" t="n">
        <v>2000</v>
      </c>
      <c r="E29" s="203" t="s">
        <v>421</v>
      </c>
      <c r="F29" s="203" t="s">
        <v>422</v>
      </c>
      <c r="G29" s="204" t="n">
        <v>9866</v>
      </c>
      <c r="H29" s="204" t="n">
        <v>17181</v>
      </c>
      <c r="I29" s="204" t="n">
        <v>18743</v>
      </c>
      <c r="J29" s="204" t="n">
        <v>18313</v>
      </c>
      <c r="K29" s="204" t="n">
        <v>16962</v>
      </c>
      <c r="L29" s="204" t="n">
        <v>18310</v>
      </c>
      <c r="M29" s="204" t="n">
        <v>1055.12</v>
      </c>
      <c r="N29" s="204" t="n">
        <v>2025.67</v>
      </c>
      <c r="O29" s="204" t="n">
        <v>2284.85</v>
      </c>
      <c r="P29" s="204" t="n">
        <v>2556.62</v>
      </c>
      <c r="Q29" s="204" t="n">
        <v>2776.93</v>
      </c>
      <c r="R29" s="204" t="n">
        <v>2800.11</v>
      </c>
      <c r="S29" s="232"/>
      <c r="T29" s="211"/>
      <c r="U29" s="211"/>
      <c r="V29" s="211"/>
      <c r="W29" s="211"/>
      <c r="X29" s="211"/>
      <c r="Y29" s="232"/>
      <c r="Z29" s="206"/>
      <c r="AA29" s="206"/>
      <c r="AB29" s="206"/>
      <c r="AC29" s="206"/>
      <c r="AD29" s="206"/>
      <c r="AE29" s="196"/>
      <c r="AF29" s="196"/>
      <c r="AG29" s="196"/>
      <c r="AH29" s="196"/>
      <c r="AI29" s="196"/>
      <c r="AJ29" s="195"/>
      <c r="AK29" s="208"/>
      <c r="AL29" s="195"/>
    </row>
    <row r="30" customFormat="false" ht="13.5" hidden="false" customHeight="false" outlineLevel="0" collapsed="false">
      <c r="A30" s="200" t="s">
        <v>441</v>
      </c>
      <c r="B30" s="231" t="s">
        <v>444</v>
      </c>
      <c r="C30" s="231" t="s">
        <v>445</v>
      </c>
      <c r="D30" s="203" t="n">
        <v>5715</v>
      </c>
      <c r="E30" s="203" t="s">
        <v>421</v>
      </c>
      <c r="F30" s="203" t="s">
        <v>422</v>
      </c>
      <c r="G30" s="204" t="n">
        <v>4714</v>
      </c>
      <c r="H30" s="204" t="n">
        <v>4372</v>
      </c>
      <c r="I30" s="204" t="n">
        <v>3928</v>
      </c>
      <c r="J30" s="204" t="n">
        <v>6356</v>
      </c>
      <c r="K30" s="204" t="n">
        <v>2708</v>
      </c>
      <c r="L30" s="204" t="n">
        <v>2835</v>
      </c>
      <c r="M30" s="204" t="n">
        <v>598.41</v>
      </c>
      <c r="N30" s="204" t="n">
        <v>606.22</v>
      </c>
      <c r="O30" s="204" t="n">
        <v>585.47</v>
      </c>
      <c r="P30" s="204" t="n">
        <v>924.78</v>
      </c>
      <c r="Q30" s="204" t="n">
        <v>534.58</v>
      </c>
      <c r="R30" s="204" t="n">
        <v>588.52</v>
      </c>
      <c r="S30" s="232"/>
      <c r="T30" s="211"/>
      <c r="U30" s="211"/>
      <c r="V30" s="211"/>
      <c r="W30" s="211"/>
      <c r="X30" s="211"/>
      <c r="Y30" s="232"/>
      <c r="Z30" s="206"/>
      <c r="AA30" s="206"/>
      <c r="AB30" s="206"/>
      <c r="AC30" s="206"/>
      <c r="AD30" s="206"/>
      <c r="AE30" s="196"/>
      <c r="AF30" s="196"/>
      <c r="AG30" s="196"/>
      <c r="AH30" s="196"/>
      <c r="AI30" s="196"/>
      <c r="AJ30" s="195"/>
      <c r="AK30" s="208"/>
      <c r="AL30" s="195"/>
    </row>
    <row r="31" customFormat="false" ht="13.5" hidden="false" customHeight="false" outlineLevel="0" collapsed="false">
      <c r="A31" s="200" t="s">
        <v>441</v>
      </c>
      <c r="B31" s="231" t="s">
        <v>446</v>
      </c>
      <c r="C31" s="231" t="s">
        <v>447</v>
      </c>
      <c r="D31" s="203" t="n">
        <v>13200</v>
      </c>
      <c r="E31" s="203" t="s">
        <v>421</v>
      </c>
      <c r="F31" s="203" t="s">
        <v>422</v>
      </c>
      <c r="G31" s="204" t="n">
        <v>26874</v>
      </c>
      <c r="H31" s="204" t="n">
        <v>29882</v>
      </c>
      <c r="I31" s="204" t="n">
        <v>25225</v>
      </c>
      <c r="J31" s="204" t="n">
        <v>30379</v>
      </c>
      <c r="K31" s="204" t="n">
        <v>24598</v>
      </c>
      <c r="L31" s="204" t="n">
        <v>0</v>
      </c>
      <c r="M31" s="204" t="n">
        <v>2377.81</v>
      </c>
      <c r="N31" s="204" t="n">
        <v>3175.03</v>
      </c>
      <c r="O31" s="204" t="n">
        <v>2849.63</v>
      </c>
      <c r="P31" s="204" t="n">
        <v>4758.25</v>
      </c>
      <c r="Q31" s="204" t="n">
        <v>4714.29</v>
      </c>
      <c r="R31" s="204" t="n">
        <v>519.22</v>
      </c>
      <c r="S31" s="232"/>
      <c r="T31" s="211"/>
      <c r="U31" s="211"/>
      <c r="V31" s="211"/>
      <c r="W31" s="211"/>
      <c r="X31" s="211"/>
      <c r="Y31" s="232"/>
      <c r="Z31" s="206"/>
      <c r="AA31" s="206"/>
      <c r="AB31" s="206"/>
      <c r="AC31" s="206"/>
      <c r="AD31" s="206"/>
      <c r="AE31" s="196"/>
      <c r="AF31" s="199"/>
      <c r="AG31" s="197"/>
      <c r="AH31" s="196"/>
      <c r="AI31" s="196"/>
      <c r="AJ31" s="195"/>
      <c r="AK31" s="195"/>
      <c r="AL31" s="195"/>
    </row>
    <row r="32" customFormat="false" ht="13.5" hidden="false" customHeight="false" outlineLevel="0" collapsed="false">
      <c r="A32" s="200" t="s">
        <v>441</v>
      </c>
      <c r="B32" s="231" t="s">
        <v>448</v>
      </c>
      <c r="C32" s="231" t="s">
        <v>449</v>
      </c>
      <c r="D32" s="203" t="n">
        <v>13900</v>
      </c>
      <c r="E32" s="203" t="s">
        <v>421</v>
      </c>
      <c r="F32" s="203" t="s">
        <v>422</v>
      </c>
      <c r="G32" s="204" t="n">
        <v>33243</v>
      </c>
      <c r="H32" s="204" t="n">
        <v>31390</v>
      </c>
      <c r="I32" s="204" t="n">
        <v>22779</v>
      </c>
      <c r="J32" s="204" t="n">
        <v>27707</v>
      </c>
      <c r="K32" s="204" t="n">
        <v>28934</v>
      </c>
      <c r="L32" s="204" t="n">
        <v>11870</v>
      </c>
      <c r="M32" s="204" t="n">
        <v>2949.64</v>
      </c>
      <c r="N32" s="204" t="n">
        <v>3035.96</v>
      </c>
      <c r="O32" s="204" t="n">
        <v>2702.04</v>
      </c>
      <c r="P32" s="204" t="n">
        <v>4310.43</v>
      </c>
      <c r="Q32" s="204" t="n">
        <v>5406.18</v>
      </c>
      <c r="R32" s="204" t="n">
        <v>2248.82</v>
      </c>
      <c r="S32" s="232"/>
      <c r="T32" s="211"/>
      <c r="U32" s="211"/>
      <c r="V32" s="211"/>
      <c r="W32" s="211"/>
      <c r="X32" s="211"/>
      <c r="Y32" s="232"/>
      <c r="Z32" s="206"/>
      <c r="AA32" s="206"/>
      <c r="AB32" s="206"/>
      <c r="AC32" s="206"/>
      <c r="AD32" s="206"/>
      <c r="AE32" s="196"/>
      <c r="AF32" s="199"/>
      <c r="AG32" s="197"/>
      <c r="AH32" s="196"/>
      <c r="AI32" s="196"/>
      <c r="AJ32" s="195"/>
      <c r="AK32" s="195"/>
      <c r="AL32" s="195"/>
    </row>
    <row r="33" customFormat="false" ht="13.5" hidden="false" customHeight="false" outlineLevel="0" collapsed="false">
      <c r="A33" s="200" t="s">
        <v>441</v>
      </c>
      <c r="B33" s="231" t="s">
        <v>450</v>
      </c>
      <c r="C33" s="231" t="s">
        <v>449</v>
      </c>
      <c r="D33" s="203" t="n">
        <v>34641</v>
      </c>
      <c r="E33" s="203" t="s">
        <v>421</v>
      </c>
      <c r="F33" s="203" t="s">
        <v>422</v>
      </c>
      <c r="G33" s="204" t="n">
        <v>111765</v>
      </c>
      <c r="H33" s="204" t="n">
        <v>112327</v>
      </c>
      <c r="I33" s="204" t="n">
        <v>98361</v>
      </c>
      <c r="J33" s="204" t="n">
        <v>112420</v>
      </c>
      <c r="K33" s="204" t="n">
        <v>106293</v>
      </c>
      <c r="L33" s="204" t="n">
        <v>21447</v>
      </c>
      <c r="M33" s="204" t="n">
        <v>10161.44</v>
      </c>
      <c r="N33" s="204" t="n">
        <v>11103.6</v>
      </c>
      <c r="O33" s="204" t="n">
        <v>11933.41</v>
      </c>
      <c r="P33" s="204" t="n">
        <v>17222.85</v>
      </c>
      <c r="Q33" s="204" t="n">
        <v>15394.082</v>
      </c>
      <c r="R33" s="204" t="n">
        <v>3584.53</v>
      </c>
      <c r="S33" s="232"/>
      <c r="T33" s="211"/>
      <c r="U33" s="211"/>
      <c r="V33" s="211"/>
      <c r="W33" s="211"/>
      <c r="X33" s="211"/>
      <c r="Y33" s="232"/>
      <c r="Z33" s="206"/>
      <c r="AA33" s="206"/>
      <c r="AB33" s="206"/>
      <c r="AC33" s="206"/>
      <c r="AD33" s="206"/>
      <c r="AE33" s="196"/>
      <c r="AF33" s="199"/>
      <c r="AG33" s="197"/>
      <c r="AH33" s="196"/>
      <c r="AI33" s="196"/>
      <c r="AJ33" s="195"/>
      <c r="AK33" s="195"/>
      <c r="AL33" s="195"/>
    </row>
    <row r="34" customFormat="false" ht="13.5" hidden="false" customHeight="false" outlineLevel="0" collapsed="false">
      <c r="A34" s="200" t="s">
        <v>441</v>
      </c>
      <c r="B34" s="231" t="s">
        <v>451</v>
      </c>
      <c r="C34" s="231" t="s">
        <v>452</v>
      </c>
      <c r="D34" s="203" t="n">
        <v>19800</v>
      </c>
      <c r="E34" s="203" t="s">
        <v>421</v>
      </c>
      <c r="F34" s="203" t="s">
        <v>422</v>
      </c>
      <c r="G34" s="204" t="n">
        <v>97449</v>
      </c>
      <c r="H34" s="204" t="n">
        <v>119764</v>
      </c>
      <c r="I34" s="204" t="n">
        <v>83161</v>
      </c>
      <c r="J34" s="204" t="n">
        <v>109951</v>
      </c>
      <c r="K34" s="204" t="n">
        <v>60470</v>
      </c>
      <c r="L34" s="204" t="n">
        <v>24694</v>
      </c>
      <c r="M34" s="204" t="n">
        <v>8668.11</v>
      </c>
      <c r="N34" s="204" t="n">
        <v>11469.5</v>
      </c>
      <c r="O34" s="204" t="n">
        <v>9934.01</v>
      </c>
      <c r="P34" s="204" t="n">
        <v>16593.9</v>
      </c>
      <c r="Q34" s="204" t="n">
        <v>9728.19</v>
      </c>
      <c r="R34" s="204" t="n">
        <v>4891.55</v>
      </c>
      <c r="S34" s="232"/>
      <c r="T34" s="211"/>
      <c r="U34" s="211"/>
      <c r="V34" s="211"/>
      <c r="W34" s="211"/>
      <c r="X34" s="211"/>
      <c r="Y34" s="232"/>
      <c r="Z34" s="206"/>
      <c r="AA34" s="206"/>
      <c r="AB34" s="206"/>
      <c r="AC34" s="206"/>
      <c r="AD34" s="206"/>
      <c r="AE34" s="196"/>
      <c r="AF34" s="199"/>
      <c r="AG34" s="197"/>
      <c r="AH34" s="196"/>
      <c r="AI34" s="196"/>
      <c r="AJ34" s="195"/>
      <c r="AK34" s="195"/>
      <c r="AL34" s="195"/>
    </row>
    <row r="35" customFormat="false" ht="13.5" hidden="false" customHeight="false" outlineLevel="0" collapsed="false">
      <c r="A35" s="200" t="s">
        <v>441</v>
      </c>
      <c r="B35" s="231" t="s">
        <v>453</v>
      </c>
      <c r="C35" s="231" t="s">
        <v>454</v>
      </c>
      <c r="D35" s="203" t="n">
        <v>4950</v>
      </c>
      <c r="E35" s="203" t="s">
        <v>421</v>
      </c>
      <c r="F35" s="203" t="s">
        <v>422</v>
      </c>
      <c r="G35" s="204" t="n">
        <v>54492</v>
      </c>
      <c r="H35" s="204" t="n">
        <v>57030</v>
      </c>
      <c r="I35" s="204" t="n">
        <v>49322</v>
      </c>
      <c r="J35" s="204" t="n">
        <v>54140</v>
      </c>
      <c r="K35" s="204" t="n">
        <v>57352</v>
      </c>
      <c r="L35" s="204" t="n">
        <v>60263</v>
      </c>
      <c r="M35" s="204" t="n">
        <v>5056.16</v>
      </c>
      <c r="N35" s="204" t="n">
        <v>5774.33</v>
      </c>
      <c r="O35" s="204" t="n">
        <v>4826.62</v>
      </c>
      <c r="P35" s="204" t="n">
        <v>7842.03</v>
      </c>
      <c r="Q35" s="204" t="n">
        <v>9525.48</v>
      </c>
      <c r="R35" s="204" t="n">
        <v>9049.45</v>
      </c>
      <c r="S35" s="232"/>
      <c r="T35" s="211"/>
      <c r="U35" s="211"/>
      <c r="V35" s="211"/>
      <c r="W35" s="211"/>
      <c r="X35" s="211"/>
      <c r="Y35" s="232"/>
      <c r="Z35" s="206"/>
      <c r="AA35" s="206"/>
      <c r="AB35" s="206"/>
      <c r="AC35" s="206"/>
      <c r="AD35" s="206"/>
      <c r="AE35" s="196"/>
      <c r="AF35" s="199"/>
      <c r="AG35" s="197"/>
      <c r="AH35" s="196"/>
      <c r="AI35" s="196"/>
      <c r="AJ35" s="195"/>
      <c r="AK35" s="195"/>
      <c r="AL35" s="195"/>
    </row>
    <row r="36" customFormat="false" ht="13.5" hidden="false" customHeight="false" outlineLevel="0" collapsed="false">
      <c r="A36" s="200" t="s">
        <v>441</v>
      </c>
      <c r="B36" s="231" t="s">
        <v>455</v>
      </c>
      <c r="C36" s="231" t="s">
        <v>456</v>
      </c>
      <c r="D36" s="203" t="n">
        <v>3300</v>
      </c>
      <c r="E36" s="203" t="s">
        <v>421</v>
      </c>
      <c r="F36" s="203" t="s">
        <v>422</v>
      </c>
      <c r="G36" s="204" t="n">
        <v>26035</v>
      </c>
      <c r="H36" s="204" t="n">
        <v>31206</v>
      </c>
      <c r="I36" s="204" t="n">
        <v>28806</v>
      </c>
      <c r="J36" s="204" t="n">
        <v>29524</v>
      </c>
      <c r="K36" s="204" t="n">
        <v>32467</v>
      </c>
      <c r="L36" s="204" t="n">
        <v>29255</v>
      </c>
      <c r="M36" s="204" t="n">
        <v>2508.42</v>
      </c>
      <c r="N36" s="204" t="n">
        <v>3484.4</v>
      </c>
      <c r="O36" s="204" t="n">
        <v>3117.92</v>
      </c>
      <c r="P36" s="204" t="n">
        <v>4882.18</v>
      </c>
      <c r="Q36" s="204" t="n">
        <v>5553.69</v>
      </c>
      <c r="R36" s="204" t="n">
        <v>4531.54</v>
      </c>
      <c r="S36" s="232"/>
      <c r="T36" s="211"/>
      <c r="U36" s="211"/>
      <c r="V36" s="211"/>
      <c r="W36" s="211"/>
      <c r="X36" s="211"/>
      <c r="Y36" s="232"/>
      <c r="Z36" s="206"/>
      <c r="AA36" s="206"/>
      <c r="AB36" s="206"/>
      <c r="AC36" s="206"/>
      <c r="AD36" s="206"/>
      <c r="AE36" s="196"/>
      <c r="AF36" s="199"/>
      <c r="AG36" s="197"/>
      <c r="AH36" s="196"/>
      <c r="AI36" s="196"/>
      <c r="AJ36" s="195"/>
      <c r="AK36" s="195"/>
      <c r="AL36" s="195"/>
    </row>
    <row r="37" customFormat="false" ht="13.5" hidden="false" customHeight="false" outlineLevel="0" collapsed="false">
      <c r="A37" s="200" t="s">
        <v>441</v>
      </c>
      <c r="B37" s="231" t="s">
        <v>457</v>
      </c>
      <c r="C37" s="231" t="s">
        <v>458</v>
      </c>
      <c r="D37" s="203" t="n">
        <v>6928</v>
      </c>
      <c r="E37" s="203" t="s">
        <v>421</v>
      </c>
      <c r="F37" s="203" t="s">
        <v>422</v>
      </c>
      <c r="G37" s="204" t="n">
        <v>9347</v>
      </c>
      <c r="H37" s="204" t="n">
        <v>15286</v>
      </c>
      <c r="I37" s="204" t="n">
        <v>14370</v>
      </c>
      <c r="J37" s="204" t="n">
        <v>13591</v>
      </c>
      <c r="K37" s="204" t="n">
        <v>13311</v>
      </c>
      <c r="L37" s="204" t="n">
        <v>20768</v>
      </c>
      <c r="M37" s="204" t="n">
        <v>1145.21</v>
      </c>
      <c r="N37" s="204" t="n">
        <v>1974.05</v>
      </c>
      <c r="O37" s="204" t="n">
        <v>1943.67</v>
      </c>
      <c r="P37" s="204" t="n">
        <v>2067</v>
      </c>
      <c r="Q37" s="204" t="n">
        <v>2215.77</v>
      </c>
      <c r="R37" s="204" t="n">
        <v>3255.14</v>
      </c>
      <c r="S37" s="232"/>
      <c r="T37" s="211"/>
      <c r="U37" s="211"/>
      <c r="V37" s="211"/>
      <c r="W37" s="211"/>
      <c r="X37" s="211"/>
      <c r="Y37" s="232"/>
      <c r="Z37" s="206"/>
      <c r="AA37" s="206"/>
      <c r="AB37" s="206"/>
      <c r="AC37" s="206"/>
      <c r="AD37" s="206"/>
      <c r="AE37" s="196"/>
      <c r="AF37" s="195"/>
      <c r="AG37" s="195"/>
      <c r="AH37" s="196"/>
      <c r="AI37" s="196"/>
      <c r="AJ37" s="195"/>
      <c r="AK37" s="195"/>
      <c r="AL37" s="195"/>
    </row>
    <row r="38" customFormat="false" ht="13.5" hidden="false" customHeight="false" outlineLevel="0" collapsed="false">
      <c r="A38" s="200" t="s">
        <v>459</v>
      </c>
      <c r="B38" s="231" t="s">
        <v>460</v>
      </c>
      <c r="C38" s="231" t="s">
        <v>461</v>
      </c>
      <c r="D38" s="203" t="n">
        <v>4950</v>
      </c>
      <c r="E38" s="203" t="s">
        <v>421</v>
      </c>
      <c r="F38" s="203" t="s">
        <v>422</v>
      </c>
      <c r="G38" s="204" t="n">
        <v>10993</v>
      </c>
      <c r="H38" s="204" t="n">
        <v>16674</v>
      </c>
      <c r="I38" s="204" t="n">
        <v>28290</v>
      </c>
      <c r="J38" s="204" t="n">
        <v>34397</v>
      </c>
      <c r="K38" s="204" t="n">
        <v>32085</v>
      </c>
      <c r="L38" s="204" t="n">
        <v>34497</v>
      </c>
      <c r="M38" s="204" t="n">
        <v>942.29</v>
      </c>
      <c r="N38" s="204" t="n">
        <v>1533.44</v>
      </c>
      <c r="O38" s="204" t="n">
        <v>2884.49</v>
      </c>
      <c r="P38" s="204" t="n">
        <v>4947.48</v>
      </c>
      <c r="Q38" s="204" t="n">
        <v>5321.34</v>
      </c>
      <c r="R38" s="204" t="n">
        <v>5193.61</v>
      </c>
      <c r="S38" s="232"/>
      <c r="T38" s="211"/>
      <c r="U38" s="211"/>
      <c r="V38" s="211"/>
      <c r="W38" s="211"/>
      <c r="X38" s="211"/>
      <c r="Y38" s="232"/>
      <c r="Z38" s="206"/>
      <c r="AA38" s="206"/>
      <c r="AB38" s="206"/>
      <c r="AC38" s="206"/>
      <c r="AD38" s="206"/>
      <c r="AE38" s="196"/>
      <c r="AF38" s="196"/>
      <c r="AG38" s="196"/>
      <c r="AH38" s="196"/>
      <c r="AI38" s="196"/>
      <c r="AJ38" s="195"/>
      <c r="AK38" s="195"/>
      <c r="AL38" s="195"/>
    </row>
    <row r="39" customFormat="false" ht="13.5" hidden="false" customHeight="false" outlineLevel="0" collapsed="false">
      <c r="A39" s="200" t="s">
        <v>459</v>
      </c>
      <c r="B39" s="231" t="s">
        <v>462</v>
      </c>
      <c r="C39" s="231" t="s">
        <v>463</v>
      </c>
      <c r="D39" s="203" t="n">
        <v>2200</v>
      </c>
      <c r="E39" s="203" t="s">
        <v>421</v>
      </c>
      <c r="F39" s="203" t="s">
        <v>422</v>
      </c>
      <c r="G39" s="204" t="n">
        <v>1084</v>
      </c>
      <c r="H39" s="204" t="n">
        <v>1120</v>
      </c>
      <c r="I39" s="204" t="n">
        <v>1060</v>
      </c>
      <c r="J39" s="204" t="n">
        <v>1135</v>
      </c>
      <c r="K39" s="204" t="n">
        <v>1067</v>
      </c>
      <c r="L39" s="204" t="n">
        <v>1069</v>
      </c>
      <c r="M39" s="204" t="n">
        <v>104.31</v>
      </c>
      <c r="N39" s="204" t="n">
        <v>115.67</v>
      </c>
      <c r="O39" s="204" t="n">
        <v>148.78</v>
      </c>
      <c r="P39" s="204" t="n">
        <v>187.43</v>
      </c>
      <c r="Q39" s="204" t="n">
        <v>206.01</v>
      </c>
      <c r="R39" s="204" t="n">
        <v>219.26</v>
      </c>
      <c r="S39" s="232"/>
      <c r="T39" s="211"/>
      <c r="U39" s="211"/>
      <c r="V39" s="211"/>
      <c r="W39" s="211"/>
      <c r="X39" s="211"/>
      <c r="Y39" s="232"/>
      <c r="Z39" s="206"/>
      <c r="AA39" s="206"/>
      <c r="AB39" s="206"/>
      <c r="AC39" s="206"/>
      <c r="AD39" s="206"/>
      <c r="AE39" s="196"/>
      <c r="AF39" s="196"/>
      <c r="AG39" s="196"/>
      <c r="AH39" s="196"/>
      <c r="AI39" s="196"/>
      <c r="AJ39" s="195"/>
      <c r="AK39" s="208"/>
      <c r="AL39" s="195"/>
    </row>
    <row r="40" customFormat="false" ht="13.5" hidden="false" customHeight="false" outlineLevel="0" collapsed="false">
      <c r="A40" s="200" t="s">
        <v>459</v>
      </c>
      <c r="B40" s="231" t="s">
        <v>464</v>
      </c>
      <c r="C40" s="231" t="s">
        <v>465</v>
      </c>
      <c r="D40" s="203" t="n">
        <v>1905</v>
      </c>
      <c r="E40" s="203" t="s">
        <v>421</v>
      </c>
      <c r="F40" s="203" t="s">
        <v>422</v>
      </c>
      <c r="G40" s="204" t="n">
        <v>15618</v>
      </c>
      <c r="H40" s="204" t="n">
        <v>16292</v>
      </c>
      <c r="I40" s="204" t="n">
        <v>16052</v>
      </c>
      <c r="J40" s="204" t="n">
        <v>17658</v>
      </c>
      <c r="K40" s="204" t="n">
        <v>17217</v>
      </c>
      <c r="L40" s="204" t="n">
        <v>17432</v>
      </c>
      <c r="M40" s="204" t="n">
        <v>1386.07</v>
      </c>
      <c r="N40" s="204" t="n">
        <v>1582.25</v>
      </c>
      <c r="O40" s="204" t="n">
        <v>1759.46</v>
      </c>
      <c r="P40" s="204" t="n">
        <v>2464.13</v>
      </c>
      <c r="Q40" s="204" t="n">
        <v>2802.19</v>
      </c>
      <c r="R40" s="204" t="n">
        <v>2649.27</v>
      </c>
      <c r="S40" s="232"/>
      <c r="T40" s="211"/>
      <c r="U40" s="211"/>
      <c r="V40" s="211"/>
      <c r="W40" s="211"/>
      <c r="X40" s="211"/>
      <c r="Y40" s="232"/>
      <c r="Z40" s="206"/>
      <c r="AA40" s="206"/>
      <c r="AB40" s="206"/>
      <c r="AC40" s="206"/>
      <c r="AD40" s="206"/>
      <c r="AE40" s="196"/>
      <c r="AF40" s="196"/>
      <c r="AG40" s="196"/>
      <c r="AH40" s="196"/>
      <c r="AI40" s="196"/>
      <c r="AJ40" s="195"/>
      <c r="AK40" s="208"/>
      <c r="AL40" s="195"/>
    </row>
    <row r="41" customFormat="false" ht="13.5" hidden="false" customHeight="false" outlineLevel="0" collapsed="false">
      <c r="A41" s="200" t="s">
        <v>459</v>
      </c>
      <c r="B41" s="231" t="s">
        <v>466</v>
      </c>
      <c r="C41" s="231" t="s">
        <v>467</v>
      </c>
      <c r="D41" s="203" t="n">
        <v>3810</v>
      </c>
      <c r="E41" s="203" t="s">
        <v>421</v>
      </c>
      <c r="F41" s="203" t="s">
        <v>422</v>
      </c>
      <c r="G41" s="204" t="n">
        <v>13575</v>
      </c>
      <c r="H41" s="204" t="n">
        <v>26211</v>
      </c>
      <c r="I41" s="204" t="n">
        <v>20067</v>
      </c>
      <c r="J41" s="204" t="n">
        <v>23448</v>
      </c>
      <c r="K41" s="204" t="n">
        <v>26790</v>
      </c>
      <c r="L41" s="204" t="n">
        <v>25270</v>
      </c>
      <c r="M41" s="204" t="n">
        <v>1234.33</v>
      </c>
      <c r="N41" s="204" t="n">
        <v>2647.7</v>
      </c>
      <c r="O41" s="204" t="n">
        <v>2150.32</v>
      </c>
      <c r="P41" s="204" t="n">
        <v>3339.28</v>
      </c>
      <c r="Q41" s="204" t="n">
        <v>4394.84</v>
      </c>
      <c r="R41" s="204" t="n">
        <v>3965.44</v>
      </c>
      <c r="S41" s="232"/>
      <c r="T41" s="211"/>
      <c r="U41" s="211"/>
      <c r="V41" s="211"/>
      <c r="W41" s="211"/>
      <c r="X41" s="211"/>
      <c r="Y41" s="232"/>
      <c r="Z41" s="206"/>
      <c r="AA41" s="206"/>
      <c r="AB41" s="206"/>
      <c r="AC41" s="206"/>
      <c r="AD41" s="206"/>
      <c r="AE41" s="196"/>
      <c r="AF41" s="196"/>
      <c r="AG41" s="196"/>
      <c r="AH41" s="196"/>
      <c r="AI41" s="196"/>
      <c r="AJ41" s="195"/>
      <c r="AK41" s="208"/>
      <c r="AL41" s="195"/>
    </row>
    <row r="42" customFormat="false" ht="13.5" hidden="false" customHeight="false" outlineLevel="0" collapsed="false">
      <c r="A42" s="200" t="s">
        <v>459</v>
      </c>
      <c r="B42" s="231" t="s">
        <v>460</v>
      </c>
      <c r="C42" s="231" t="s">
        <v>461</v>
      </c>
      <c r="D42" s="203" t="n">
        <v>4950</v>
      </c>
      <c r="E42" s="203" t="s">
        <v>421</v>
      </c>
      <c r="F42" s="203" t="s">
        <v>422</v>
      </c>
      <c r="G42" s="204" t="n">
        <v>10993</v>
      </c>
      <c r="H42" s="204" t="n">
        <v>16674</v>
      </c>
      <c r="I42" s="204" t="n">
        <v>28290</v>
      </c>
      <c r="J42" s="204" t="n">
        <v>34397</v>
      </c>
      <c r="K42" s="204" t="n">
        <v>32085</v>
      </c>
      <c r="L42" s="204" t="n">
        <v>34497</v>
      </c>
      <c r="M42" s="204" t="n">
        <v>942.29</v>
      </c>
      <c r="N42" s="204" t="n">
        <v>1533.44</v>
      </c>
      <c r="O42" s="204" t="n">
        <v>2884.49</v>
      </c>
      <c r="P42" s="204" t="n">
        <v>4947.48</v>
      </c>
      <c r="Q42" s="204" t="n">
        <v>5321.34</v>
      </c>
      <c r="R42" s="204" t="n">
        <v>5193.61</v>
      </c>
    </row>
    <row r="43" s="176" customFormat="true" ht="13.5" hidden="false" customHeight="false" outlineLevel="0" collapsed="false">
      <c r="A43" s="231" t="s">
        <v>468</v>
      </c>
      <c r="B43" s="231" t="s">
        <v>469</v>
      </c>
      <c r="C43" s="231" t="s">
        <v>470</v>
      </c>
      <c r="D43" s="203" t="n">
        <v>2540</v>
      </c>
      <c r="E43" s="203" t="s">
        <v>421</v>
      </c>
      <c r="F43" s="203" t="s">
        <v>422</v>
      </c>
      <c r="G43" s="204" t="n">
        <v>25318</v>
      </c>
      <c r="H43" s="204" t="n">
        <v>29270</v>
      </c>
      <c r="I43" s="204" t="n">
        <v>23331</v>
      </c>
      <c r="J43" s="204" t="n">
        <v>23257</v>
      </c>
      <c r="K43" s="204" t="n">
        <v>24719</v>
      </c>
      <c r="L43" s="204" t="n">
        <v>25941</v>
      </c>
      <c r="M43" s="204" t="n">
        <v>2291.92</v>
      </c>
      <c r="N43" s="204" t="n">
        <v>3254.71</v>
      </c>
      <c r="O43" s="204" t="n">
        <v>2579.08</v>
      </c>
      <c r="P43" s="204" t="n">
        <v>3814.43</v>
      </c>
      <c r="Q43" s="204" t="n">
        <v>4128.24</v>
      </c>
      <c r="R43" s="204" t="n">
        <v>4584.5</v>
      </c>
      <c r="S43" s="232"/>
      <c r="T43" s="211"/>
      <c r="U43" s="211"/>
      <c r="V43" s="211"/>
      <c r="W43" s="211"/>
      <c r="X43" s="211"/>
      <c r="Y43" s="232"/>
      <c r="Z43" s="206"/>
      <c r="AA43" s="206"/>
      <c r="AB43" s="206"/>
      <c r="AC43" s="206"/>
      <c r="AD43" s="206"/>
      <c r="AE43" s="196"/>
      <c r="AF43" s="196"/>
      <c r="AG43" s="196"/>
      <c r="AH43" s="196"/>
      <c r="AI43" s="196"/>
      <c r="AJ43" s="195"/>
      <c r="AK43" s="208"/>
      <c r="AL43" s="195"/>
    </row>
    <row r="44" s="176" customFormat="true" ht="13.5" hidden="false" customHeight="false" outlineLevel="0" collapsed="false">
      <c r="A44" s="231" t="s">
        <v>468</v>
      </c>
      <c r="B44" s="231" t="s">
        <v>471</v>
      </c>
      <c r="C44" s="231" t="s">
        <v>472</v>
      </c>
      <c r="D44" s="203" t="n">
        <v>34641</v>
      </c>
      <c r="E44" s="203" t="s">
        <v>421</v>
      </c>
      <c r="F44" s="203" t="s">
        <v>422</v>
      </c>
      <c r="G44" s="204" t="n">
        <v>49737</v>
      </c>
      <c r="H44" s="204" t="n">
        <v>50409</v>
      </c>
      <c r="I44" s="204" t="n">
        <v>35857</v>
      </c>
      <c r="J44" s="204" t="n">
        <v>36135</v>
      </c>
      <c r="K44" s="204" t="n">
        <v>38316</v>
      </c>
      <c r="L44" s="204" t="n">
        <v>38777</v>
      </c>
      <c r="M44" s="204" t="n">
        <v>4268.73</v>
      </c>
      <c r="N44" s="204" t="n">
        <v>4716.78</v>
      </c>
      <c r="O44" s="204" t="n">
        <v>4760.77</v>
      </c>
      <c r="P44" s="204" t="n">
        <v>6148.54</v>
      </c>
      <c r="Q44" s="204" t="n">
        <v>5968.071</v>
      </c>
      <c r="R44" s="204" t="n">
        <v>7493.92</v>
      </c>
      <c r="S44" s="232"/>
      <c r="T44" s="211"/>
      <c r="U44" s="211"/>
      <c r="V44" s="211"/>
      <c r="W44" s="211"/>
      <c r="X44" s="211"/>
      <c r="Y44" s="232"/>
      <c r="Z44" s="206"/>
      <c r="AA44" s="206"/>
      <c r="AB44" s="206"/>
      <c r="AC44" s="206"/>
      <c r="AD44" s="206"/>
      <c r="AE44" s="196"/>
      <c r="AF44" s="196"/>
      <c r="AG44" s="196"/>
      <c r="AH44" s="196"/>
      <c r="AI44" s="196"/>
      <c r="AJ44" s="195"/>
      <c r="AK44" s="208"/>
      <c r="AL44" s="195"/>
    </row>
    <row r="45" s="176" customFormat="true" ht="13.5" hidden="false" customHeight="false" outlineLevel="0" collapsed="false">
      <c r="A45" s="231" t="s">
        <v>468</v>
      </c>
      <c r="B45" s="231" t="s">
        <v>473</v>
      </c>
      <c r="C45" s="231" t="s">
        <v>474</v>
      </c>
      <c r="D45" s="203" t="n">
        <v>4400</v>
      </c>
      <c r="E45" s="203" t="s">
        <v>421</v>
      </c>
      <c r="F45" s="203" t="s">
        <v>422</v>
      </c>
      <c r="G45" s="204" t="n">
        <v>381</v>
      </c>
      <c r="H45" s="204" t="n">
        <v>59248</v>
      </c>
      <c r="I45" s="204" t="n">
        <v>33633</v>
      </c>
      <c r="J45" s="204" t="n">
        <v>36019</v>
      </c>
      <c r="K45" s="204" t="n">
        <v>38584</v>
      </c>
      <c r="L45" s="204" t="n">
        <v>42658</v>
      </c>
      <c r="M45" s="204" t="n">
        <v>55.34</v>
      </c>
      <c r="N45" s="204" t="n">
        <v>5564.37</v>
      </c>
      <c r="O45" s="204" t="n">
        <v>3312.36</v>
      </c>
      <c r="P45" s="204" t="n">
        <v>5189.27</v>
      </c>
      <c r="Q45" s="204" t="n">
        <v>6463.99</v>
      </c>
      <c r="R45" s="204" t="n">
        <v>6405.93</v>
      </c>
      <c r="S45" s="232"/>
      <c r="T45" s="211"/>
      <c r="U45" s="211"/>
      <c r="V45" s="211"/>
      <c r="W45" s="211"/>
      <c r="X45" s="211"/>
      <c r="Y45" s="232"/>
      <c r="Z45" s="206"/>
      <c r="AA45" s="206"/>
      <c r="AB45" s="206"/>
      <c r="AC45" s="206"/>
      <c r="AD45" s="206"/>
      <c r="AE45" s="196"/>
      <c r="AF45" s="196"/>
      <c r="AG45" s="196"/>
      <c r="AH45" s="196"/>
      <c r="AI45" s="196"/>
      <c r="AJ45" s="195"/>
      <c r="AK45" s="208"/>
      <c r="AL45" s="195"/>
    </row>
    <row r="46" s="176" customFormat="true" ht="13.5" hidden="false" customHeight="false" outlineLevel="0" collapsed="false">
      <c r="A46" s="231" t="s">
        <v>468</v>
      </c>
      <c r="B46" s="231" t="s">
        <v>475</v>
      </c>
      <c r="C46" s="231" t="s">
        <v>476</v>
      </c>
      <c r="D46" s="203" t="n">
        <v>4400</v>
      </c>
      <c r="E46" s="203" t="s">
        <v>421</v>
      </c>
      <c r="F46" s="203" t="s">
        <v>422</v>
      </c>
      <c r="G46" s="204" t="n">
        <v>16326</v>
      </c>
      <c r="H46" s="204" t="n">
        <v>23232</v>
      </c>
      <c r="I46" s="204" t="n">
        <v>30697</v>
      </c>
      <c r="J46" s="204" t="n">
        <v>27056</v>
      </c>
      <c r="K46" s="204" t="n">
        <v>28005</v>
      </c>
      <c r="L46" s="204" t="n">
        <v>23806</v>
      </c>
      <c r="M46" s="204" t="n">
        <v>1480.12</v>
      </c>
      <c r="N46" s="204" t="n">
        <v>2246.31</v>
      </c>
      <c r="O46" s="204" t="n">
        <v>2946.74</v>
      </c>
      <c r="P46" s="204" t="n">
        <v>3816.92</v>
      </c>
      <c r="Q46" s="204" t="n">
        <v>4695.81</v>
      </c>
      <c r="R46" s="204" t="n">
        <v>3644.12</v>
      </c>
      <c r="S46" s="232"/>
      <c r="T46" s="211"/>
      <c r="U46" s="211"/>
      <c r="V46" s="211"/>
      <c r="W46" s="211"/>
      <c r="X46" s="211"/>
      <c r="Y46" s="232"/>
      <c r="Z46" s="206"/>
      <c r="AA46" s="206"/>
      <c r="AB46" s="206"/>
      <c r="AC46" s="206"/>
      <c r="AD46" s="206"/>
      <c r="AE46" s="196"/>
      <c r="AF46" s="196"/>
      <c r="AG46" s="196"/>
      <c r="AH46" s="196"/>
      <c r="AI46" s="196"/>
      <c r="AJ46" s="195"/>
      <c r="AK46" s="208"/>
      <c r="AL46" s="195"/>
    </row>
    <row r="47" s="176" customFormat="true" ht="13.5" hidden="false" customHeight="false" outlineLevel="0" collapsed="false">
      <c r="A47" s="231" t="s">
        <v>468</v>
      </c>
      <c r="B47" s="231" t="s">
        <v>477</v>
      </c>
      <c r="C47" s="231" t="s">
        <v>478</v>
      </c>
      <c r="D47" s="203" t="n">
        <v>3300</v>
      </c>
      <c r="E47" s="203" t="s">
        <v>421</v>
      </c>
      <c r="F47" s="203" t="s">
        <v>422</v>
      </c>
      <c r="G47" s="204" t="n">
        <v>25560</v>
      </c>
      <c r="H47" s="204" t="n">
        <v>22280</v>
      </c>
      <c r="I47" s="204" t="n">
        <v>18722</v>
      </c>
      <c r="J47" s="204" t="n">
        <v>21937</v>
      </c>
      <c r="K47" s="204" t="n">
        <v>19914</v>
      </c>
      <c r="L47" s="204" t="n">
        <v>20514</v>
      </c>
      <c r="M47" s="204" t="n">
        <v>2190.62</v>
      </c>
      <c r="N47" s="204" t="n">
        <v>2053.83</v>
      </c>
      <c r="O47" s="204" t="n">
        <v>1833.46</v>
      </c>
      <c r="P47" s="204" t="n">
        <v>3115.91</v>
      </c>
      <c r="Q47" s="204" t="n">
        <v>3290.19</v>
      </c>
      <c r="R47" s="204" t="n">
        <v>3125.14</v>
      </c>
      <c r="S47" s="232"/>
      <c r="T47" s="211"/>
      <c r="U47" s="211"/>
      <c r="V47" s="211"/>
      <c r="W47" s="211"/>
      <c r="X47" s="211"/>
      <c r="Y47" s="232"/>
      <c r="Z47" s="206"/>
      <c r="AA47" s="206"/>
      <c r="AB47" s="206"/>
      <c r="AC47" s="206"/>
      <c r="AD47" s="206"/>
      <c r="AE47" s="196"/>
      <c r="AF47" s="196"/>
      <c r="AG47" s="196"/>
      <c r="AH47" s="196"/>
      <c r="AI47" s="196"/>
      <c r="AJ47" s="195"/>
      <c r="AK47" s="208"/>
      <c r="AL47" s="195"/>
    </row>
    <row r="48" s="176" customFormat="true" ht="13.5" hidden="false" customHeight="false" outlineLevel="0" collapsed="false">
      <c r="A48" s="231" t="s">
        <v>87</v>
      </c>
      <c r="B48" s="231" t="s">
        <v>479</v>
      </c>
      <c r="C48" s="231" t="s">
        <v>480</v>
      </c>
      <c r="D48" s="203" t="n">
        <v>13200</v>
      </c>
      <c r="E48" s="203" t="s">
        <v>421</v>
      </c>
      <c r="F48" s="203" t="s">
        <v>422</v>
      </c>
      <c r="G48" s="204" t="n">
        <v>25582</v>
      </c>
      <c r="H48" s="204" t="n">
        <v>38058</v>
      </c>
      <c r="I48" s="204" t="n">
        <v>31145</v>
      </c>
      <c r="J48" s="204" t="n">
        <v>33804</v>
      </c>
      <c r="K48" s="204" t="n">
        <v>33907</v>
      </c>
      <c r="L48" s="204" t="n">
        <v>21140</v>
      </c>
      <c r="M48" s="204" t="n">
        <v>2237.29</v>
      </c>
      <c r="N48" s="204" t="n">
        <v>3546.23</v>
      </c>
      <c r="O48" s="204" t="n">
        <v>3433.88</v>
      </c>
      <c r="P48" s="204" t="n">
        <v>5236.78</v>
      </c>
      <c r="Q48" s="204" t="n">
        <v>6299.4</v>
      </c>
      <c r="R48" s="204" t="n">
        <v>4256.06</v>
      </c>
      <c r="S48" s="232"/>
      <c r="T48" s="211"/>
      <c r="U48" s="211"/>
      <c r="V48" s="211"/>
      <c r="W48" s="211"/>
      <c r="X48" s="211"/>
      <c r="Y48" s="232"/>
      <c r="Z48" s="206"/>
      <c r="AA48" s="206"/>
      <c r="AB48" s="206"/>
      <c r="AC48" s="206"/>
      <c r="AD48" s="206"/>
      <c r="AE48" s="196"/>
      <c r="AF48" s="196"/>
      <c r="AG48" s="196"/>
      <c r="AH48" s="196"/>
      <c r="AI48" s="196"/>
      <c r="AJ48" s="195"/>
      <c r="AK48" s="208"/>
      <c r="AL48" s="195"/>
    </row>
    <row r="49" s="176" customFormat="true" ht="13.5" hidden="false" customHeight="false" outlineLevel="0" collapsed="false">
      <c r="A49" s="231" t="s">
        <v>441</v>
      </c>
      <c r="B49" s="231" t="s">
        <v>444</v>
      </c>
      <c r="C49" s="231" t="s">
        <v>445</v>
      </c>
      <c r="D49" s="203" t="n">
        <v>5715</v>
      </c>
      <c r="E49" s="203" t="s">
        <v>421</v>
      </c>
      <c r="F49" s="203" t="s">
        <v>422</v>
      </c>
      <c r="G49" s="204" t="n">
        <v>4714</v>
      </c>
      <c r="H49" s="204" t="n">
        <v>4372</v>
      </c>
      <c r="I49" s="204" t="n">
        <v>3928</v>
      </c>
      <c r="J49" s="204" t="n">
        <v>6356</v>
      </c>
      <c r="K49" s="204" t="n">
        <v>2708</v>
      </c>
      <c r="L49" s="204" t="n">
        <v>2835</v>
      </c>
      <c r="M49" s="204" t="n">
        <v>598.41</v>
      </c>
      <c r="N49" s="204" t="n">
        <v>606.22</v>
      </c>
      <c r="O49" s="204" t="n">
        <v>585.47</v>
      </c>
      <c r="P49" s="204" t="n">
        <v>924.78</v>
      </c>
      <c r="Q49" s="204" t="n">
        <v>534.58</v>
      </c>
      <c r="R49" s="204" t="n">
        <v>588.52</v>
      </c>
      <c r="S49" s="232"/>
      <c r="T49" s="211"/>
      <c r="U49" s="211"/>
      <c r="V49" s="211"/>
      <c r="W49" s="211"/>
      <c r="X49" s="211"/>
      <c r="Y49" s="232"/>
      <c r="Z49" s="206"/>
      <c r="AA49" s="206"/>
      <c r="AB49" s="206"/>
      <c r="AC49" s="206"/>
      <c r="AD49" s="206"/>
      <c r="AE49" s="196"/>
      <c r="AF49" s="196"/>
      <c r="AG49" s="196"/>
      <c r="AH49" s="196"/>
      <c r="AI49" s="196"/>
      <c r="AJ49" s="195"/>
      <c r="AK49" s="208"/>
      <c r="AL49" s="195"/>
    </row>
    <row r="50" s="176" customFormat="true" ht="13.5" hidden="false" customHeight="false" outlineLevel="0" collapsed="false">
      <c r="A50" s="231"/>
      <c r="B50" s="231"/>
      <c r="C50" s="231"/>
      <c r="D50" s="203"/>
      <c r="E50" s="203"/>
      <c r="F50" s="203"/>
      <c r="G50" s="204"/>
      <c r="H50" s="204"/>
      <c r="I50" s="204"/>
      <c r="J50" s="204"/>
      <c r="K50" s="204"/>
      <c r="L50" s="204"/>
      <c r="M50" s="204"/>
      <c r="N50" s="204"/>
      <c r="O50" s="204"/>
      <c r="P50" s="204"/>
      <c r="Q50" s="204"/>
      <c r="R50" s="204"/>
      <c r="S50" s="232"/>
      <c r="T50" s="211"/>
      <c r="U50" s="211"/>
      <c r="V50" s="211"/>
      <c r="W50" s="211"/>
      <c r="X50" s="211"/>
      <c r="Y50" s="232"/>
      <c r="Z50" s="206"/>
      <c r="AA50" s="206"/>
      <c r="AB50" s="206"/>
      <c r="AC50" s="206"/>
      <c r="AD50" s="206"/>
      <c r="AE50" s="196"/>
      <c r="AF50" s="196"/>
      <c r="AG50" s="196"/>
      <c r="AH50" s="196"/>
      <c r="AI50" s="196"/>
      <c r="AJ50" s="195"/>
      <c r="AK50" s="208"/>
      <c r="AL50" s="195"/>
    </row>
    <row r="51" s="176" customFormat="true" ht="13.5" hidden="false" customHeight="false" outlineLevel="0" collapsed="false">
      <c r="A51" s="231"/>
      <c r="B51" s="231"/>
      <c r="C51" s="231"/>
      <c r="D51" s="203"/>
      <c r="E51" s="203"/>
      <c r="F51" s="203"/>
      <c r="G51" s="204"/>
      <c r="H51" s="204"/>
      <c r="I51" s="204"/>
      <c r="J51" s="204"/>
      <c r="K51" s="204"/>
      <c r="L51" s="204"/>
      <c r="M51" s="204"/>
      <c r="N51" s="204"/>
      <c r="O51" s="204"/>
      <c r="P51" s="204"/>
      <c r="Q51" s="204"/>
      <c r="R51" s="204"/>
      <c r="S51" s="232"/>
      <c r="T51" s="211"/>
      <c r="U51" s="211"/>
      <c r="V51" s="211"/>
      <c r="W51" s="211"/>
      <c r="X51" s="211"/>
      <c r="Y51" s="232"/>
      <c r="Z51" s="206"/>
      <c r="AA51" s="206"/>
      <c r="AB51" s="206"/>
      <c r="AC51" s="206"/>
      <c r="AD51" s="206"/>
      <c r="AE51" s="196"/>
      <c r="AF51" s="196"/>
      <c r="AG51" s="196"/>
      <c r="AH51" s="196"/>
      <c r="AI51" s="196"/>
      <c r="AJ51" s="195"/>
      <c r="AK51" s="208"/>
      <c r="AL51" s="195"/>
    </row>
    <row r="52" s="176" customFormat="true" ht="13.5" hidden="false" customHeight="false" outlineLevel="0" collapsed="false">
      <c r="A52" s="231"/>
      <c r="B52" s="231"/>
      <c r="C52" s="231"/>
      <c r="D52" s="203"/>
      <c r="E52" s="203"/>
      <c r="F52" s="203"/>
      <c r="G52" s="204"/>
      <c r="H52" s="204"/>
      <c r="I52" s="204"/>
      <c r="J52" s="204"/>
      <c r="K52" s="204"/>
      <c r="L52" s="204"/>
      <c r="M52" s="204"/>
      <c r="N52" s="204"/>
      <c r="O52" s="204"/>
      <c r="P52" s="204"/>
      <c r="Q52" s="204"/>
      <c r="R52" s="204"/>
      <c r="S52" s="232"/>
      <c r="T52" s="211"/>
      <c r="U52" s="211"/>
      <c r="V52" s="211"/>
      <c r="W52" s="211"/>
      <c r="X52" s="211"/>
      <c r="Y52" s="232"/>
      <c r="Z52" s="206"/>
      <c r="AA52" s="206"/>
      <c r="AB52" s="206"/>
      <c r="AC52" s="206"/>
      <c r="AD52" s="206"/>
      <c r="AE52" s="196"/>
      <c r="AF52" s="196"/>
      <c r="AG52" s="196"/>
      <c r="AH52" s="196"/>
      <c r="AI52" s="196"/>
      <c r="AJ52" s="195"/>
      <c r="AK52" s="208"/>
      <c r="AL52" s="195"/>
    </row>
    <row r="53" s="176" customFormat="true" ht="13.5" hidden="false" customHeight="false" outlineLevel="0" collapsed="false">
      <c r="A53" s="231"/>
      <c r="B53" s="231"/>
      <c r="C53" s="231"/>
      <c r="D53" s="203"/>
      <c r="E53" s="203"/>
      <c r="F53" s="203"/>
      <c r="G53" s="204"/>
      <c r="H53" s="204"/>
      <c r="I53" s="204"/>
      <c r="J53" s="204"/>
      <c r="K53" s="204"/>
      <c r="L53" s="204"/>
      <c r="M53" s="204"/>
      <c r="N53" s="204"/>
      <c r="O53" s="204"/>
      <c r="P53" s="204"/>
      <c r="Q53" s="204"/>
      <c r="R53" s="204"/>
      <c r="S53" s="232"/>
      <c r="T53" s="211"/>
      <c r="U53" s="211"/>
      <c r="V53" s="211"/>
      <c r="W53" s="211"/>
      <c r="X53" s="211"/>
      <c r="Y53" s="232"/>
      <c r="Z53" s="206"/>
      <c r="AA53" s="206"/>
      <c r="AB53" s="206"/>
      <c r="AC53" s="206"/>
      <c r="AD53" s="206"/>
      <c r="AE53" s="196"/>
      <c r="AF53" s="196"/>
      <c r="AG53" s="196"/>
      <c r="AH53" s="196"/>
      <c r="AI53" s="196"/>
      <c r="AJ53" s="195"/>
      <c r="AK53" s="208"/>
      <c r="AL53" s="195"/>
    </row>
    <row r="54" s="176" customFormat="true" ht="13.5" hidden="false" customHeight="false" outlineLevel="0" collapsed="false">
      <c r="A54" s="231"/>
      <c r="B54" s="231"/>
      <c r="C54" s="231"/>
      <c r="D54" s="203"/>
      <c r="E54" s="203"/>
      <c r="F54" s="203"/>
      <c r="G54" s="204"/>
      <c r="H54" s="204"/>
      <c r="I54" s="204"/>
      <c r="J54" s="204"/>
      <c r="K54" s="204"/>
      <c r="L54" s="204"/>
      <c r="M54" s="204"/>
      <c r="N54" s="204"/>
      <c r="O54" s="204"/>
      <c r="P54" s="204"/>
      <c r="Q54" s="204"/>
      <c r="R54" s="204"/>
      <c r="S54" s="232"/>
      <c r="T54" s="211"/>
      <c r="U54" s="211"/>
      <c r="V54" s="211"/>
      <c r="W54" s="211"/>
      <c r="X54" s="211"/>
      <c r="Y54" s="232"/>
      <c r="Z54" s="206"/>
      <c r="AA54" s="206"/>
      <c r="AB54" s="206"/>
      <c r="AC54" s="206"/>
      <c r="AD54" s="206"/>
      <c r="AE54" s="196"/>
      <c r="AF54" s="196"/>
      <c r="AG54" s="196"/>
      <c r="AH54" s="196"/>
      <c r="AI54" s="196"/>
      <c r="AJ54" s="195"/>
      <c r="AK54" s="208"/>
      <c r="AL54" s="195"/>
    </row>
    <row r="55" s="176" customFormat="true" ht="13.5" hidden="false" customHeight="false" outlineLevel="0" collapsed="false">
      <c r="A55" s="231"/>
      <c r="B55" s="231"/>
      <c r="C55" s="231"/>
      <c r="D55" s="203"/>
      <c r="E55" s="203"/>
      <c r="F55" s="203"/>
      <c r="G55" s="204"/>
      <c r="H55" s="204"/>
      <c r="I55" s="204"/>
      <c r="J55" s="204"/>
      <c r="K55" s="204"/>
      <c r="L55" s="204"/>
      <c r="M55" s="204"/>
      <c r="N55" s="204"/>
      <c r="O55" s="204"/>
      <c r="P55" s="204"/>
      <c r="Q55" s="204"/>
      <c r="R55" s="204"/>
      <c r="S55" s="232"/>
      <c r="T55" s="211"/>
      <c r="U55" s="211"/>
      <c r="V55" s="211"/>
      <c r="W55" s="211"/>
      <c r="X55" s="211"/>
      <c r="Y55" s="232"/>
      <c r="Z55" s="206"/>
      <c r="AA55" s="206"/>
      <c r="AB55" s="206"/>
      <c r="AC55" s="206"/>
      <c r="AD55" s="206"/>
      <c r="AE55" s="196"/>
      <c r="AF55" s="196"/>
      <c r="AG55" s="196"/>
      <c r="AH55" s="196"/>
      <c r="AI55" s="196"/>
      <c r="AJ55" s="195"/>
      <c r="AK55" s="208"/>
      <c r="AL55" s="195"/>
    </row>
    <row r="56" s="176" customFormat="true" ht="13.5" hidden="false" customHeight="false" outlineLevel="0" collapsed="false">
      <c r="A56" s="231"/>
      <c r="B56" s="231"/>
      <c r="C56" s="231"/>
      <c r="D56" s="203"/>
      <c r="E56" s="203"/>
      <c r="F56" s="203"/>
      <c r="G56" s="204"/>
      <c r="H56" s="204"/>
      <c r="I56" s="204"/>
      <c r="J56" s="204"/>
      <c r="K56" s="204"/>
      <c r="L56" s="204"/>
      <c r="M56" s="204"/>
      <c r="N56" s="204"/>
      <c r="O56" s="204"/>
      <c r="P56" s="204"/>
      <c r="Q56" s="204"/>
      <c r="R56" s="204"/>
      <c r="S56" s="232"/>
      <c r="T56" s="211"/>
      <c r="U56" s="211"/>
      <c r="V56" s="211"/>
      <c r="W56" s="211"/>
      <c r="X56" s="211"/>
      <c r="Y56" s="232"/>
      <c r="Z56" s="206"/>
      <c r="AA56" s="206"/>
      <c r="AB56" s="206"/>
      <c r="AC56" s="206"/>
      <c r="AD56" s="206"/>
      <c r="AE56" s="196"/>
      <c r="AF56" s="196"/>
      <c r="AG56" s="196"/>
      <c r="AH56" s="196"/>
      <c r="AI56" s="196"/>
      <c r="AJ56" s="195"/>
      <c r="AK56" s="208"/>
      <c r="AL56" s="195"/>
    </row>
    <row r="57" s="176" customFormat="true" ht="13.5" hidden="false" customHeight="false" outlineLevel="0" collapsed="false">
      <c r="A57" s="231"/>
      <c r="B57" s="231"/>
      <c r="C57" s="231"/>
      <c r="D57" s="203"/>
      <c r="E57" s="203"/>
      <c r="F57" s="203"/>
      <c r="G57" s="204"/>
      <c r="H57" s="204"/>
      <c r="I57" s="204"/>
      <c r="J57" s="204"/>
      <c r="K57" s="204"/>
      <c r="L57" s="204"/>
      <c r="M57" s="204"/>
      <c r="N57" s="204"/>
      <c r="O57" s="204"/>
      <c r="P57" s="204"/>
      <c r="Q57" s="204"/>
      <c r="R57" s="204"/>
      <c r="S57" s="232"/>
      <c r="T57" s="211"/>
      <c r="U57" s="211"/>
      <c r="V57" s="211"/>
      <c r="W57" s="211"/>
      <c r="X57" s="211"/>
      <c r="Y57" s="232"/>
      <c r="Z57" s="206"/>
      <c r="AA57" s="206"/>
      <c r="AB57" s="206"/>
      <c r="AC57" s="206"/>
      <c r="AD57" s="206"/>
      <c r="AE57" s="196"/>
      <c r="AF57" s="196"/>
      <c r="AG57" s="196"/>
      <c r="AH57" s="196"/>
      <c r="AI57" s="196"/>
      <c r="AJ57" s="195"/>
      <c r="AK57" s="208"/>
      <c r="AL57" s="195"/>
    </row>
    <row r="58" s="176" customFormat="true" ht="13.5" hidden="false" customHeight="false" outlineLevel="0" collapsed="false">
      <c r="A58" s="231"/>
      <c r="B58" s="231"/>
      <c r="C58" s="231"/>
      <c r="D58" s="203"/>
      <c r="E58" s="203"/>
      <c r="F58" s="203"/>
      <c r="G58" s="204"/>
      <c r="H58" s="204"/>
      <c r="I58" s="204"/>
      <c r="J58" s="204"/>
      <c r="K58" s="204"/>
      <c r="L58" s="204"/>
      <c r="M58" s="204"/>
      <c r="N58" s="204"/>
      <c r="O58" s="204"/>
      <c r="P58" s="204"/>
      <c r="Q58" s="204"/>
      <c r="R58" s="204"/>
      <c r="S58" s="232"/>
      <c r="T58" s="211"/>
      <c r="U58" s="211"/>
      <c r="V58" s="211"/>
      <c r="W58" s="211"/>
      <c r="X58" s="211"/>
      <c r="Y58" s="232"/>
      <c r="Z58" s="206"/>
      <c r="AA58" s="206"/>
      <c r="AB58" s="206"/>
      <c r="AC58" s="206"/>
      <c r="AD58" s="206"/>
      <c r="AE58" s="196"/>
      <c r="AF58" s="196"/>
      <c r="AG58" s="196"/>
      <c r="AH58" s="196"/>
      <c r="AI58" s="196"/>
      <c r="AJ58" s="195"/>
      <c r="AK58" s="208"/>
      <c r="AL58" s="195"/>
    </row>
    <row r="59" s="176" customFormat="true" ht="13.5" hidden="false" customHeight="false" outlineLevel="0" collapsed="false">
      <c r="A59" s="231"/>
      <c r="B59" s="231"/>
      <c r="C59" s="231"/>
      <c r="D59" s="203"/>
      <c r="E59" s="203"/>
      <c r="F59" s="203"/>
      <c r="G59" s="204"/>
      <c r="H59" s="204"/>
      <c r="I59" s="204"/>
      <c r="J59" s="204"/>
      <c r="K59" s="204"/>
      <c r="L59" s="204"/>
      <c r="M59" s="204"/>
      <c r="N59" s="204"/>
      <c r="O59" s="204"/>
      <c r="P59" s="204"/>
      <c r="Q59" s="204"/>
      <c r="R59" s="204"/>
      <c r="S59" s="232"/>
      <c r="T59" s="211"/>
      <c r="U59" s="211"/>
      <c r="V59" s="211"/>
      <c r="W59" s="211"/>
      <c r="X59" s="211"/>
      <c r="Y59" s="232"/>
      <c r="Z59" s="206"/>
      <c r="AA59" s="206"/>
      <c r="AB59" s="206"/>
      <c r="AC59" s="206"/>
      <c r="AD59" s="206"/>
      <c r="AE59" s="196"/>
      <c r="AF59" s="196"/>
      <c r="AG59" s="196"/>
      <c r="AH59" s="196"/>
      <c r="AI59" s="196"/>
      <c r="AJ59" s="195"/>
      <c r="AK59" s="208"/>
      <c r="AL59" s="195"/>
    </row>
    <row r="60" s="176" customFormat="true" ht="13.5" hidden="false" customHeight="false" outlineLevel="0" collapsed="false">
      <c r="A60" s="231"/>
      <c r="B60" s="231"/>
      <c r="C60" s="231"/>
      <c r="D60" s="203"/>
      <c r="E60" s="203"/>
      <c r="F60" s="203"/>
      <c r="G60" s="204"/>
      <c r="H60" s="204"/>
      <c r="I60" s="204"/>
      <c r="J60" s="204"/>
      <c r="K60" s="204"/>
      <c r="L60" s="204"/>
      <c r="M60" s="204"/>
      <c r="N60" s="204"/>
      <c r="O60" s="204"/>
      <c r="P60" s="204"/>
      <c r="Q60" s="204"/>
      <c r="R60" s="204"/>
      <c r="S60" s="232"/>
      <c r="T60" s="211"/>
      <c r="U60" s="211"/>
      <c r="V60" s="211"/>
      <c r="W60" s="211"/>
      <c r="X60" s="211"/>
      <c r="Y60" s="232"/>
      <c r="Z60" s="206"/>
      <c r="AA60" s="206"/>
      <c r="AB60" s="206"/>
      <c r="AC60" s="206"/>
      <c r="AD60" s="206"/>
      <c r="AE60" s="196"/>
      <c r="AF60" s="196"/>
      <c r="AG60" s="196"/>
      <c r="AH60" s="196"/>
      <c r="AI60" s="196"/>
      <c r="AJ60" s="195"/>
      <c r="AK60" s="208"/>
      <c r="AL60" s="195"/>
    </row>
    <row r="61" s="176" customFormat="true" ht="13.5" hidden="false" customHeight="false" outlineLevel="0" collapsed="false">
      <c r="A61" s="231"/>
      <c r="B61" s="231"/>
      <c r="C61" s="231"/>
      <c r="D61" s="203"/>
      <c r="E61" s="203"/>
      <c r="F61" s="203"/>
      <c r="G61" s="204"/>
      <c r="H61" s="204"/>
      <c r="I61" s="204"/>
      <c r="J61" s="204"/>
      <c r="K61" s="204"/>
      <c r="L61" s="204"/>
      <c r="M61" s="204"/>
      <c r="N61" s="204"/>
      <c r="O61" s="204"/>
      <c r="P61" s="204"/>
      <c r="Q61" s="204"/>
      <c r="R61" s="204"/>
      <c r="S61" s="232"/>
      <c r="T61" s="211"/>
      <c r="U61" s="211"/>
      <c r="V61" s="211"/>
      <c r="W61" s="211"/>
      <c r="X61" s="211"/>
      <c r="Y61" s="232"/>
      <c r="Z61" s="206"/>
      <c r="AA61" s="206"/>
      <c r="AB61" s="206"/>
      <c r="AC61" s="206"/>
      <c r="AD61" s="206"/>
      <c r="AE61" s="196"/>
      <c r="AF61" s="196"/>
      <c r="AG61" s="196"/>
      <c r="AH61" s="196"/>
      <c r="AI61" s="196"/>
      <c r="AJ61" s="195"/>
      <c r="AK61" s="208"/>
      <c r="AL61" s="195"/>
    </row>
    <row r="62" s="176" customFormat="true" ht="13.5" hidden="false" customHeight="false" outlineLevel="0" collapsed="false">
      <c r="A62" s="231"/>
      <c r="B62" s="231"/>
      <c r="C62" s="231"/>
      <c r="D62" s="203"/>
      <c r="E62" s="203"/>
      <c r="F62" s="203"/>
      <c r="G62" s="204"/>
      <c r="H62" s="204"/>
      <c r="I62" s="204"/>
      <c r="J62" s="204"/>
      <c r="K62" s="204"/>
      <c r="L62" s="204"/>
      <c r="M62" s="204"/>
      <c r="N62" s="204"/>
      <c r="O62" s="204"/>
      <c r="P62" s="204"/>
      <c r="Q62" s="204"/>
      <c r="R62" s="204"/>
      <c r="S62" s="232"/>
      <c r="T62" s="211"/>
      <c r="U62" s="211"/>
      <c r="V62" s="211"/>
      <c r="W62" s="211"/>
      <c r="X62" s="211"/>
      <c r="Y62" s="232"/>
      <c r="Z62" s="206"/>
      <c r="AA62" s="206"/>
      <c r="AB62" s="206"/>
      <c r="AC62" s="206"/>
      <c r="AD62" s="206"/>
      <c r="AE62" s="196"/>
      <c r="AF62" s="196"/>
      <c r="AG62" s="196"/>
      <c r="AH62" s="196"/>
      <c r="AI62" s="196"/>
      <c r="AJ62" s="195"/>
      <c r="AK62" s="208"/>
      <c r="AL62" s="195"/>
    </row>
    <row r="63" s="176" customFormat="true" ht="13.5" hidden="false" customHeight="false" outlineLevel="0" collapsed="false">
      <c r="A63" s="231"/>
      <c r="B63" s="231"/>
      <c r="C63" s="231"/>
      <c r="D63" s="203"/>
      <c r="E63" s="203"/>
      <c r="F63" s="203"/>
      <c r="G63" s="204"/>
      <c r="H63" s="204"/>
      <c r="I63" s="204"/>
      <c r="J63" s="204"/>
      <c r="K63" s="204"/>
      <c r="L63" s="204"/>
      <c r="M63" s="204"/>
      <c r="N63" s="204"/>
      <c r="O63" s="204"/>
      <c r="P63" s="204"/>
      <c r="Q63" s="204"/>
      <c r="R63" s="204"/>
      <c r="S63" s="232"/>
      <c r="T63" s="211"/>
      <c r="U63" s="211"/>
      <c r="V63" s="211"/>
      <c r="W63" s="211"/>
      <c r="X63" s="211"/>
      <c r="Y63" s="232"/>
      <c r="Z63" s="206"/>
      <c r="AA63" s="206"/>
      <c r="AB63" s="206"/>
      <c r="AC63" s="206"/>
      <c r="AD63" s="206"/>
      <c r="AE63" s="196"/>
      <c r="AF63" s="196"/>
      <c r="AG63" s="196"/>
      <c r="AH63" s="196"/>
      <c r="AI63" s="196"/>
      <c r="AJ63" s="195"/>
      <c r="AK63" s="208"/>
      <c r="AL63" s="195"/>
    </row>
    <row r="64" s="176" customFormat="true" ht="13.5" hidden="false" customHeight="false" outlineLevel="0" collapsed="false">
      <c r="A64" s="231"/>
      <c r="B64" s="231"/>
      <c r="C64" s="231"/>
      <c r="D64" s="203"/>
      <c r="E64" s="203"/>
      <c r="F64" s="203"/>
      <c r="G64" s="204"/>
      <c r="H64" s="204"/>
      <c r="I64" s="204"/>
      <c r="J64" s="204"/>
      <c r="K64" s="204"/>
      <c r="L64" s="204"/>
      <c r="M64" s="204"/>
      <c r="N64" s="204"/>
      <c r="O64" s="204"/>
      <c r="P64" s="204"/>
      <c r="Q64" s="204"/>
      <c r="R64" s="204"/>
      <c r="S64" s="232"/>
      <c r="T64" s="211"/>
      <c r="U64" s="211"/>
      <c r="V64" s="211"/>
      <c r="W64" s="211"/>
      <c r="X64" s="211"/>
      <c r="Y64" s="232"/>
      <c r="Z64" s="206"/>
      <c r="AA64" s="206"/>
      <c r="AB64" s="206"/>
      <c r="AC64" s="206"/>
      <c r="AD64" s="206"/>
      <c r="AE64" s="196"/>
      <c r="AF64" s="196"/>
      <c r="AG64" s="196"/>
      <c r="AH64" s="196"/>
      <c r="AI64" s="196"/>
      <c r="AJ64" s="195"/>
      <c r="AK64" s="208"/>
      <c r="AL64" s="195"/>
    </row>
    <row r="65" s="176" customFormat="true" ht="13.5" hidden="false" customHeight="false" outlineLevel="0" collapsed="false">
      <c r="A65" s="231"/>
      <c r="B65" s="231"/>
      <c r="C65" s="231"/>
      <c r="D65" s="203"/>
      <c r="E65" s="203"/>
      <c r="F65" s="203"/>
      <c r="G65" s="204"/>
      <c r="H65" s="204"/>
      <c r="I65" s="204"/>
      <c r="J65" s="204"/>
      <c r="K65" s="204"/>
      <c r="L65" s="204"/>
      <c r="M65" s="204"/>
      <c r="N65" s="204"/>
      <c r="O65" s="204"/>
      <c r="P65" s="204"/>
      <c r="Q65" s="204"/>
      <c r="R65" s="204"/>
      <c r="S65" s="232"/>
      <c r="T65" s="211"/>
      <c r="U65" s="211"/>
      <c r="V65" s="211"/>
      <c r="W65" s="211"/>
      <c r="X65" s="211"/>
      <c r="Y65" s="232"/>
      <c r="Z65" s="206"/>
      <c r="AA65" s="206"/>
      <c r="AB65" s="206"/>
      <c r="AC65" s="206"/>
      <c r="AD65" s="206"/>
      <c r="AE65" s="196"/>
      <c r="AF65" s="196"/>
      <c r="AG65" s="196"/>
      <c r="AH65" s="196"/>
      <c r="AI65" s="196"/>
      <c r="AJ65" s="195"/>
      <c r="AK65" s="208"/>
      <c r="AL65" s="195"/>
    </row>
    <row r="66" s="176" customFormat="true" ht="13.5" hidden="false" customHeight="false" outlineLevel="0" collapsed="false">
      <c r="A66" s="231"/>
      <c r="B66" s="231"/>
      <c r="C66" s="231"/>
      <c r="D66" s="203"/>
      <c r="E66" s="203"/>
      <c r="F66" s="203"/>
      <c r="G66" s="204"/>
      <c r="H66" s="204"/>
      <c r="I66" s="204"/>
      <c r="J66" s="204"/>
      <c r="K66" s="204"/>
      <c r="L66" s="204"/>
      <c r="M66" s="204"/>
      <c r="N66" s="204"/>
      <c r="O66" s="204"/>
      <c r="P66" s="204"/>
      <c r="Q66" s="204"/>
      <c r="R66" s="204"/>
      <c r="S66" s="232"/>
      <c r="T66" s="211"/>
      <c r="U66" s="211"/>
      <c r="V66" s="211"/>
      <c r="W66" s="211"/>
      <c r="X66" s="211"/>
      <c r="Y66" s="232"/>
      <c r="Z66" s="206"/>
      <c r="AA66" s="206"/>
      <c r="AB66" s="206"/>
      <c r="AC66" s="206"/>
      <c r="AD66" s="206"/>
      <c r="AE66" s="196"/>
      <c r="AF66" s="196"/>
      <c r="AG66" s="196"/>
      <c r="AH66" s="196"/>
      <c r="AI66" s="196"/>
      <c r="AJ66" s="195"/>
      <c r="AK66" s="208"/>
      <c r="AL66" s="195"/>
    </row>
    <row r="67" s="176" customFormat="true" ht="13.5" hidden="false" customHeight="false" outlineLevel="0" collapsed="false">
      <c r="A67" s="231"/>
      <c r="B67" s="231"/>
      <c r="C67" s="231"/>
      <c r="D67" s="203"/>
      <c r="E67" s="203"/>
      <c r="F67" s="203"/>
      <c r="G67" s="204"/>
      <c r="H67" s="204"/>
      <c r="I67" s="204"/>
      <c r="J67" s="204"/>
      <c r="K67" s="204"/>
      <c r="L67" s="204"/>
      <c r="M67" s="204"/>
      <c r="N67" s="204"/>
      <c r="O67" s="204"/>
      <c r="P67" s="204"/>
      <c r="Q67" s="204"/>
      <c r="R67" s="204"/>
      <c r="S67" s="232"/>
      <c r="T67" s="211"/>
      <c r="U67" s="211"/>
      <c r="V67" s="211"/>
      <c r="W67" s="211"/>
      <c r="X67" s="211"/>
      <c r="Y67" s="232"/>
      <c r="Z67" s="206"/>
      <c r="AA67" s="206"/>
      <c r="AB67" s="206"/>
      <c r="AC67" s="206"/>
      <c r="AD67" s="206"/>
      <c r="AE67" s="196"/>
      <c r="AF67" s="196"/>
      <c r="AG67" s="196"/>
      <c r="AH67" s="196"/>
      <c r="AI67" s="196"/>
      <c r="AJ67" s="195"/>
      <c r="AK67" s="208"/>
      <c r="AL67" s="195"/>
    </row>
    <row r="68" s="176" customFormat="true" ht="13.5" hidden="false" customHeight="false" outlineLevel="0" collapsed="false">
      <c r="A68" s="231"/>
      <c r="B68" s="231"/>
      <c r="C68" s="231"/>
      <c r="D68" s="203"/>
      <c r="E68" s="203"/>
      <c r="F68" s="203"/>
      <c r="G68" s="204"/>
      <c r="H68" s="204"/>
      <c r="I68" s="204"/>
      <c r="J68" s="204"/>
      <c r="K68" s="204"/>
      <c r="L68" s="204"/>
      <c r="M68" s="204"/>
      <c r="N68" s="204"/>
      <c r="O68" s="204"/>
      <c r="P68" s="204"/>
      <c r="Q68" s="204"/>
      <c r="R68" s="204"/>
      <c r="S68" s="232"/>
      <c r="T68" s="211"/>
      <c r="U68" s="211"/>
      <c r="V68" s="211"/>
      <c r="W68" s="211"/>
      <c r="X68" s="211"/>
      <c r="Y68" s="232"/>
      <c r="Z68" s="206"/>
      <c r="AA68" s="206"/>
      <c r="AB68" s="206"/>
      <c r="AC68" s="206"/>
      <c r="AD68" s="206"/>
      <c r="AE68" s="196"/>
      <c r="AF68" s="196"/>
      <c r="AG68" s="196"/>
      <c r="AH68" s="196"/>
      <c r="AI68" s="196"/>
      <c r="AJ68" s="195"/>
      <c r="AK68" s="208"/>
      <c r="AL68" s="195"/>
    </row>
    <row r="69" s="176" customFormat="true" ht="13.5" hidden="false" customHeight="false" outlineLevel="0" collapsed="false">
      <c r="A69" s="231"/>
      <c r="B69" s="231"/>
      <c r="C69" s="231"/>
      <c r="D69" s="203"/>
      <c r="E69" s="203"/>
      <c r="F69" s="203"/>
      <c r="G69" s="204"/>
      <c r="H69" s="204"/>
      <c r="I69" s="204"/>
      <c r="J69" s="204"/>
      <c r="K69" s="204"/>
      <c r="L69" s="204"/>
      <c r="M69" s="204"/>
      <c r="N69" s="204"/>
      <c r="O69" s="204"/>
      <c r="P69" s="204"/>
      <c r="Q69" s="204"/>
      <c r="R69" s="204"/>
      <c r="S69" s="232"/>
      <c r="T69" s="211"/>
      <c r="U69" s="211"/>
      <c r="V69" s="211"/>
      <c r="W69" s="211"/>
      <c r="X69" s="211"/>
      <c r="Y69" s="232"/>
      <c r="Z69" s="206"/>
      <c r="AA69" s="206"/>
      <c r="AB69" s="206"/>
      <c r="AC69" s="206"/>
      <c r="AD69" s="206"/>
      <c r="AE69" s="196"/>
      <c r="AF69" s="196"/>
      <c r="AG69" s="196"/>
      <c r="AH69" s="196"/>
      <c r="AI69" s="196"/>
      <c r="AJ69" s="195"/>
      <c r="AK69" s="208"/>
      <c r="AL69" s="195"/>
    </row>
    <row r="70" s="176" customFormat="true" ht="13.5" hidden="false" customHeight="false" outlineLevel="0" collapsed="false">
      <c r="A70" s="231"/>
      <c r="B70" s="231"/>
      <c r="C70" s="231"/>
      <c r="D70" s="203"/>
      <c r="E70" s="203"/>
      <c r="F70" s="203"/>
      <c r="G70" s="204"/>
      <c r="H70" s="204"/>
      <c r="I70" s="204"/>
      <c r="J70" s="204"/>
      <c r="K70" s="204"/>
      <c r="L70" s="204"/>
      <c r="M70" s="204"/>
      <c r="N70" s="204"/>
      <c r="O70" s="204"/>
      <c r="P70" s="204"/>
      <c r="Q70" s="204"/>
      <c r="R70" s="204"/>
      <c r="S70" s="232"/>
      <c r="T70" s="211"/>
      <c r="U70" s="211"/>
      <c r="V70" s="211"/>
      <c r="W70" s="211"/>
      <c r="X70" s="211"/>
      <c r="Y70" s="232"/>
      <c r="Z70" s="206"/>
      <c r="AA70" s="206"/>
      <c r="AB70" s="206"/>
      <c r="AC70" s="206"/>
      <c r="AD70" s="206"/>
      <c r="AE70" s="196"/>
      <c r="AF70" s="196"/>
      <c r="AG70" s="196"/>
      <c r="AH70" s="196"/>
      <c r="AI70" s="196"/>
      <c r="AJ70" s="195"/>
      <c r="AK70" s="208"/>
      <c r="AL70" s="195"/>
    </row>
    <row r="71" s="176" customFormat="true" ht="13.5" hidden="false" customHeight="false" outlineLevel="0" collapsed="false">
      <c r="A71" s="231"/>
      <c r="B71" s="233"/>
      <c r="C71" s="231"/>
      <c r="D71" s="203"/>
      <c r="E71" s="203"/>
      <c r="F71" s="203"/>
      <c r="G71" s="204"/>
      <c r="H71" s="204"/>
      <c r="I71" s="204"/>
      <c r="J71" s="204"/>
      <c r="K71" s="204"/>
      <c r="L71" s="204"/>
      <c r="M71" s="204"/>
      <c r="N71" s="204"/>
      <c r="O71" s="204"/>
      <c r="P71" s="204"/>
      <c r="Q71" s="204"/>
      <c r="R71" s="204"/>
      <c r="S71" s="232"/>
      <c r="T71" s="211"/>
      <c r="U71" s="211"/>
      <c r="V71" s="211"/>
      <c r="W71" s="211"/>
      <c r="X71" s="211"/>
      <c r="Y71" s="232"/>
      <c r="Z71" s="206"/>
      <c r="AA71" s="206"/>
      <c r="AB71" s="206"/>
      <c r="AC71" s="206"/>
      <c r="AD71" s="206"/>
      <c r="AE71" s="196"/>
      <c r="AF71" s="196"/>
      <c r="AG71" s="196"/>
      <c r="AH71" s="196"/>
      <c r="AI71" s="196"/>
      <c r="AJ71" s="195"/>
      <c r="AK71" s="208"/>
      <c r="AL71" s="195"/>
    </row>
    <row r="72" s="176" customFormat="true" ht="13.5" hidden="false" customHeight="false" outlineLevel="0" collapsed="false">
      <c r="A72" s="231"/>
      <c r="B72" s="231"/>
      <c r="C72" s="231"/>
      <c r="D72" s="203"/>
      <c r="E72" s="203"/>
      <c r="F72" s="203"/>
      <c r="G72" s="204"/>
      <c r="H72" s="204"/>
      <c r="I72" s="204"/>
      <c r="J72" s="204"/>
      <c r="K72" s="204"/>
      <c r="L72" s="204"/>
      <c r="M72" s="204"/>
      <c r="N72" s="204"/>
      <c r="O72" s="204"/>
      <c r="P72" s="204"/>
      <c r="Q72" s="204"/>
      <c r="R72" s="204"/>
      <c r="S72" s="232"/>
      <c r="T72" s="211"/>
      <c r="U72" s="211"/>
      <c r="V72" s="211"/>
      <c r="W72" s="211"/>
      <c r="X72" s="211"/>
      <c r="Y72" s="232"/>
      <c r="Z72" s="206"/>
      <c r="AA72" s="206"/>
      <c r="AB72" s="206"/>
      <c r="AC72" s="206"/>
      <c r="AD72" s="206"/>
      <c r="AE72" s="196"/>
      <c r="AF72" s="196"/>
      <c r="AG72" s="196"/>
      <c r="AH72" s="196"/>
      <c r="AI72" s="196"/>
      <c r="AJ72" s="195"/>
      <c r="AK72" s="208"/>
      <c r="AL72" s="195"/>
    </row>
    <row r="73" s="176" customFormat="true" ht="13.5" hidden="false" customHeight="false" outlineLevel="0" collapsed="false">
      <c r="A73" s="231"/>
      <c r="B73" s="231"/>
      <c r="C73" s="231"/>
      <c r="D73" s="203"/>
      <c r="E73" s="203"/>
      <c r="F73" s="203"/>
      <c r="G73" s="204"/>
      <c r="H73" s="204"/>
      <c r="I73" s="204"/>
      <c r="J73" s="204"/>
      <c r="K73" s="204"/>
      <c r="L73" s="204"/>
      <c r="M73" s="204"/>
      <c r="N73" s="204"/>
      <c r="O73" s="204"/>
      <c r="P73" s="204"/>
      <c r="Q73" s="204"/>
      <c r="R73" s="204"/>
      <c r="S73" s="232"/>
      <c r="T73" s="211"/>
      <c r="U73" s="211"/>
      <c r="V73" s="211"/>
      <c r="W73" s="211"/>
      <c r="X73" s="211"/>
      <c r="Y73" s="232"/>
      <c r="Z73" s="206"/>
      <c r="AA73" s="206"/>
      <c r="AB73" s="206"/>
      <c r="AC73" s="206"/>
      <c r="AD73" s="206"/>
      <c r="AE73" s="196"/>
      <c r="AF73" s="196"/>
      <c r="AG73" s="196"/>
      <c r="AH73" s="196"/>
      <c r="AI73" s="196"/>
      <c r="AJ73" s="195"/>
      <c r="AK73" s="208"/>
      <c r="AL73" s="195"/>
    </row>
    <row r="74" s="176" customFormat="true" ht="13.5" hidden="false" customHeight="false" outlineLevel="0" collapsed="false">
      <c r="A74" s="231"/>
      <c r="B74" s="231"/>
      <c r="C74" s="231"/>
      <c r="D74" s="203"/>
      <c r="E74" s="203"/>
      <c r="F74" s="203"/>
      <c r="G74" s="204"/>
      <c r="H74" s="204"/>
      <c r="I74" s="204"/>
      <c r="J74" s="204"/>
      <c r="K74" s="204"/>
      <c r="L74" s="204"/>
      <c r="M74" s="204"/>
      <c r="N74" s="204"/>
      <c r="O74" s="204"/>
      <c r="P74" s="204"/>
      <c r="Q74" s="204"/>
      <c r="R74" s="204"/>
      <c r="S74" s="232"/>
      <c r="T74" s="211"/>
      <c r="U74" s="211"/>
      <c r="V74" s="211"/>
      <c r="W74" s="211"/>
      <c r="X74" s="211"/>
      <c r="Y74" s="232"/>
      <c r="Z74" s="206"/>
      <c r="AA74" s="206"/>
      <c r="AB74" s="206"/>
      <c r="AC74" s="206"/>
      <c r="AD74" s="206"/>
      <c r="AE74" s="196"/>
      <c r="AF74" s="196"/>
      <c r="AG74" s="196"/>
      <c r="AH74" s="196"/>
      <c r="AI74" s="196"/>
      <c r="AJ74" s="195"/>
      <c r="AK74" s="208"/>
      <c r="AL74" s="195"/>
    </row>
    <row r="75" s="176" customFormat="true" ht="13.5" hidden="false" customHeight="false" outlineLevel="0" collapsed="false">
      <c r="A75" s="231"/>
      <c r="B75" s="231"/>
      <c r="C75" s="231"/>
      <c r="D75" s="203"/>
      <c r="E75" s="203"/>
      <c r="F75" s="203"/>
      <c r="G75" s="204"/>
      <c r="H75" s="204"/>
      <c r="I75" s="204"/>
      <c r="J75" s="204"/>
      <c r="K75" s="204"/>
      <c r="L75" s="204"/>
      <c r="M75" s="204"/>
      <c r="N75" s="204"/>
      <c r="O75" s="204"/>
      <c r="P75" s="204"/>
      <c r="Q75" s="204"/>
      <c r="R75" s="204"/>
      <c r="S75" s="232"/>
      <c r="T75" s="211"/>
      <c r="U75" s="211"/>
      <c r="V75" s="211"/>
      <c r="W75" s="211"/>
      <c r="X75" s="211"/>
      <c r="Y75" s="232"/>
      <c r="Z75" s="206"/>
      <c r="AA75" s="206"/>
      <c r="AB75" s="206"/>
      <c r="AC75" s="206"/>
      <c r="AD75" s="206"/>
      <c r="AE75" s="196"/>
      <c r="AF75" s="196"/>
      <c r="AG75" s="196"/>
      <c r="AH75" s="196"/>
      <c r="AI75" s="196"/>
      <c r="AJ75" s="195"/>
      <c r="AK75" s="208"/>
      <c r="AL75" s="195"/>
    </row>
    <row r="76" s="176" customFormat="true" ht="13.5" hidden="false" customHeight="false" outlineLevel="0" collapsed="false">
      <c r="A76" s="231"/>
      <c r="B76" s="231"/>
      <c r="C76" s="231"/>
      <c r="D76" s="203"/>
      <c r="E76" s="203"/>
      <c r="F76" s="203"/>
      <c r="G76" s="204"/>
      <c r="H76" s="204"/>
      <c r="I76" s="204"/>
      <c r="J76" s="204"/>
      <c r="K76" s="204"/>
      <c r="L76" s="204"/>
      <c r="M76" s="204"/>
      <c r="N76" s="204"/>
      <c r="O76" s="204"/>
      <c r="P76" s="204"/>
      <c r="Q76" s="204"/>
      <c r="R76" s="204"/>
      <c r="S76" s="232"/>
      <c r="T76" s="211"/>
      <c r="U76" s="211"/>
      <c r="V76" s="211"/>
      <c r="W76" s="211"/>
      <c r="X76" s="211"/>
      <c r="Y76" s="232"/>
      <c r="Z76" s="206"/>
      <c r="AA76" s="206"/>
      <c r="AB76" s="206"/>
      <c r="AC76" s="206"/>
      <c r="AD76" s="206"/>
      <c r="AE76" s="196"/>
      <c r="AF76" s="196"/>
      <c r="AG76" s="196"/>
      <c r="AH76" s="196"/>
      <c r="AI76" s="196"/>
      <c r="AJ76" s="195"/>
      <c r="AK76" s="208"/>
      <c r="AL76" s="195"/>
    </row>
    <row r="77" s="176" customFormat="true" ht="13.5" hidden="false" customHeight="false" outlineLevel="0" collapsed="false">
      <c r="A77" s="231"/>
      <c r="B77" s="231"/>
      <c r="C77" s="231"/>
      <c r="D77" s="203"/>
      <c r="E77" s="203"/>
      <c r="F77" s="203"/>
      <c r="G77" s="204"/>
      <c r="H77" s="204"/>
      <c r="I77" s="204"/>
      <c r="J77" s="204"/>
      <c r="K77" s="204"/>
      <c r="L77" s="204"/>
      <c r="M77" s="204"/>
      <c r="N77" s="204"/>
      <c r="O77" s="204"/>
      <c r="P77" s="204"/>
      <c r="Q77" s="204"/>
      <c r="R77" s="204"/>
      <c r="S77" s="232"/>
      <c r="T77" s="211"/>
      <c r="U77" s="211"/>
      <c r="V77" s="211"/>
      <c r="W77" s="211"/>
      <c r="X77" s="211"/>
      <c r="Y77" s="232"/>
      <c r="Z77" s="206"/>
      <c r="AA77" s="206"/>
      <c r="AB77" s="206"/>
      <c r="AC77" s="206"/>
      <c r="AD77" s="206"/>
      <c r="AE77" s="196"/>
      <c r="AF77" s="196"/>
      <c r="AG77" s="196"/>
      <c r="AH77" s="196"/>
      <c r="AI77" s="196"/>
      <c r="AJ77" s="195"/>
      <c r="AK77" s="208"/>
      <c r="AL77" s="195"/>
    </row>
    <row r="78" s="176" customFormat="true" ht="13.5" hidden="false" customHeight="false" outlineLevel="0" collapsed="false">
      <c r="A78" s="231"/>
      <c r="B78" s="231"/>
      <c r="C78" s="231"/>
      <c r="D78" s="203"/>
      <c r="E78" s="203"/>
      <c r="F78" s="203"/>
      <c r="G78" s="204"/>
      <c r="H78" s="204"/>
      <c r="I78" s="204"/>
      <c r="J78" s="204"/>
      <c r="K78" s="204"/>
      <c r="L78" s="204"/>
      <c r="M78" s="204"/>
      <c r="N78" s="204"/>
      <c r="O78" s="204"/>
      <c r="P78" s="204"/>
      <c r="Q78" s="204"/>
      <c r="R78" s="204"/>
      <c r="S78" s="232"/>
      <c r="T78" s="211"/>
      <c r="U78" s="211"/>
      <c r="V78" s="211"/>
      <c r="W78" s="211"/>
      <c r="X78" s="211"/>
      <c r="Y78" s="232"/>
      <c r="Z78" s="206"/>
      <c r="AA78" s="206"/>
      <c r="AB78" s="206"/>
      <c r="AC78" s="206"/>
      <c r="AD78" s="206"/>
      <c r="AE78" s="196"/>
      <c r="AF78" s="196"/>
      <c r="AG78" s="196"/>
      <c r="AH78" s="196"/>
      <c r="AI78" s="196"/>
      <c r="AJ78" s="195"/>
      <c r="AK78" s="208"/>
      <c r="AL78" s="195"/>
    </row>
    <row r="79" s="176" customFormat="true" ht="13.5" hidden="false" customHeight="false" outlineLevel="0" collapsed="false">
      <c r="A79" s="231"/>
      <c r="B79" s="231"/>
      <c r="C79" s="231"/>
      <c r="D79" s="203"/>
      <c r="E79" s="203"/>
      <c r="F79" s="203"/>
      <c r="G79" s="204"/>
      <c r="H79" s="204"/>
      <c r="I79" s="204"/>
      <c r="J79" s="204"/>
      <c r="K79" s="204"/>
      <c r="L79" s="204"/>
      <c r="M79" s="204"/>
      <c r="N79" s="204"/>
      <c r="O79" s="204"/>
      <c r="P79" s="204"/>
      <c r="Q79" s="204"/>
      <c r="R79" s="204"/>
      <c r="S79" s="232"/>
      <c r="T79" s="211"/>
      <c r="U79" s="211"/>
      <c r="V79" s="211"/>
      <c r="W79" s="211"/>
      <c r="X79" s="211"/>
      <c r="Y79" s="232"/>
      <c r="Z79" s="206"/>
      <c r="AA79" s="206"/>
      <c r="AB79" s="206"/>
      <c r="AC79" s="206"/>
      <c r="AD79" s="206"/>
      <c r="AE79" s="196"/>
      <c r="AF79" s="196"/>
      <c r="AG79" s="196"/>
      <c r="AH79" s="196"/>
      <c r="AI79" s="196"/>
      <c r="AJ79" s="195"/>
      <c r="AK79" s="208"/>
      <c r="AL79" s="195"/>
    </row>
    <row r="80" s="176" customFormat="true" ht="13.5" hidden="false" customHeight="false" outlineLevel="0" collapsed="false">
      <c r="A80" s="231"/>
      <c r="B80" s="231"/>
      <c r="C80" s="231"/>
      <c r="D80" s="203"/>
      <c r="E80" s="203"/>
      <c r="F80" s="203"/>
      <c r="G80" s="204"/>
      <c r="H80" s="204"/>
      <c r="I80" s="204"/>
      <c r="J80" s="204"/>
      <c r="K80" s="204"/>
      <c r="L80" s="204"/>
      <c r="M80" s="204"/>
      <c r="N80" s="204"/>
      <c r="O80" s="204"/>
      <c r="P80" s="204"/>
      <c r="Q80" s="204"/>
      <c r="R80" s="204"/>
      <c r="S80" s="232"/>
      <c r="T80" s="211"/>
      <c r="U80" s="211"/>
      <c r="V80" s="211"/>
      <c r="W80" s="211"/>
      <c r="X80" s="211"/>
      <c r="Y80" s="232"/>
      <c r="Z80" s="206"/>
      <c r="AA80" s="206"/>
      <c r="AB80" s="206"/>
      <c r="AC80" s="206"/>
      <c r="AD80" s="206"/>
      <c r="AE80" s="196"/>
      <c r="AF80" s="196"/>
      <c r="AG80" s="196"/>
      <c r="AH80" s="196"/>
      <c r="AI80" s="196"/>
      <c r="AJ80" s="195"/>
      <c r="AK80" s="208"/>
      <c r="AL80" s="195"/>
    </row>
    <row r="81" s="176" customFormat="true" ht="13.5" hidden="false" customHeight="false" outlineLevel="0" collapsed="false">
      <c r="A81" s="231"/>
      <c r="B81" s="231"/>
      <c r="C81" s="231"/>
      <c r="D81" s="203"/>
      <c r="E81" s="203"/>
      <c r="F81" s="203"/>
      <c r="G81" s="204"/>
      <c r="H81" s="204"/>
      <c r="I81" s="204"/>
      <c r="J81" s="204"/>
      <c r="K81" s="204"/>
      <c r="L81" s="204"/>
      <c r="M81" s="204"/>
      <c r="N81" s="204"/>
      <c r="O81" s="204"/>
      <c r="P81" s="204"/>
      <c r="Q81" s="204"/>
      <c r="R81" s="204"/>
      <c r="S81" s="232"/>
      <c r="T81" s="211"/>
      <c r="U81" s="211"/>
      <c r="V81" s="211"/>
      <c r="W81" s="211"/>
      <c r="X81" s="211"/>
      <c r="Y81" s="232"/>
      <c r="Z81" s="206"/>
      <c r="AA81" s="206"/>
      <c r="AB81" s="206"/>
      <c r="AC81" s="206"/>
      <c r="AD81" s="206"/>
      <c r="AE81" s="196"/>
      <c r="AF81" s="196"/>
      <c r="AG81" s="196"/>
      <c r="AH81" s="196"/>
      <c r="AI81" s="196"/>
      <c r="AJ81" s="195"/>
      <c r="AK81" s="208"/>
      <c r="AL81" s="195"/>
    </row>
    <row r="82" s="176" customFormat="true" ht="13.5" hidden="false" customHeight="false" outlineLevel="0" collapsed="false">
      <c r="A82" s="231"/>
      <c r="B82" s="231"/>
      <c r="C82" s="231"/>
      <c r="D82" s="203"/>
      <c r="E82" s="203"/>
      <c r="F82" s="203"/>
      <c r="G82" s="204"/>
      <c r="H82" s="204"/>
      <c r="I82" s="204"/>
      <c r="J82" s="204"/>
      <c r="K82" s="204"/>
      <c r="L82" s="204"/>
      <c r="M82" s="204"/>
      <c r="N82" s="204"/>
      <c r="O82" s="204"/>
      <c r="P82" s="204"/>
      <c r="Q82" s="204"/>
      <c r="R82" s="204"/>
      <c r="S82" s="232"/>
      <c r="T82" s="211"/>
      <c r="U82" s="211"/>
      <c r="V82" s="211"/>
      <c r="W82" s="211"/>
      <c r="X82" s="211"/>
      <c r="Y82" s="232"/>
      <c r="Z82" s="206"/>
      <c r="AA82" s="206"/>
      <c r="AB82" s="206"/>
      <c r="AC82" s="206"/>
      <c r="AD82" s="206"/>
      <c r="AE82" s="196"/>
      <c r="AF82" s="196"/>
      <c r="AG82" s="196"/>
      <c r="AH82" s="196"/>
      <c r="AI82" s="196"/>
      <c r="AJ82" s="195"/>
      <c r="AK82" s="208"/>
      <c r="AL82" s="195"/>
    </row>
    <row r="83" s="176" customFormat="true" ht="13.5" hidden="false" customHeight="false" outlineLevel="0" collapsed="false">
      <c r="A83" s="231"/>
      <c r="B83" s="231"/>
      <c r="C83" s="231"/>
      <c r="D83" s="203"/>
      <c r="E83" s="203"/>
      <c r="F83" s="203"/>
      <c r="G83" s="204"/>
      <c r="H83" s="204"/>
      <c r="I83" s="204"/>
      <c r="J83" s="204"/>
      <c r="K83" s="204"/>
      <c r="L83" s="204"/>
      <c r="M83" s="204"/>
      <c r="N83" s="204"/>
      <c r="O83" s="204"/>
      <c r="P83" s="204"/>
      <c r="Q83" s="204"/>
      <c r="R83" s="204"/>
      <c r="S83" s="232"/>
      <c r="T83" s="211"/>
      <c r="U83" s="211"/>
      <c r="V83" s="211"/>
      <c r="W83" s="211"/>
      <c r="X83" s="211"/>
      <c r="Y83" s="232"/>
      <c r="Z83" s="206"/>
      <c r="AA83" s="206"/>
      <c r="AB83" s="206"/>
      <c r="AC83" s="206"/>
      <c r="AD83" s="206"/>
      <c r="AE83" s="196"/>
      <c r="AF83" s="196"/>
      <c r="AG83" s="196"/>
      <c r="AH83" s="196"/>
      <c r="AI83" s="196"/>
      <c r="AJ83" s="195"/>
      <c r="AK83" s="208"/>
      <c r="AL83" s="195"/>
    </row>
    <row r="84" s="176" customFormat="true" ht="13.5" hidden="false" customHeight="false" outlineLevel="0" collapsed="false">
      <c r="A84" s="231"/>
      <c r="B84" s="231"/>
      <c r="C84" s="231"/>
      <c r="D84" s="203"/>
      <c r="E84" s="203"/>
      <c r="F84" s="203"/>
      <c r="G84" s="204"/>
      <c r="H84" s="204"/>
      <c r="I84" s="204"/>
      <c r="J84" s="204"/>
      <c r="K84" s="204"/>
      <c r="L84" s="204"/>
      <c r="M84" s="204"/>
      <c r="N84" s="204"/>
      <c r="O84" s="204"/>
      <c r="P84" s="204"/>
      <c r="Q84" s="204"/>
      <c r="R84" s="204"/>
      <c r="S84" s="232"/>
      <c r="T84" s="211"/>
      <c r="U84" s="211"/>
      <c r="V84" s="211"/>
      <c r="W84" s="211"/>
      <c r="X84" s="211"/>
      <c r="Y84" s="232"/>
      <c r="Z84" s="206"/>
      <c r="AA84" s="206"/>
      <c r="AB84" s="206"/>
      <c r="AC84" s="206"/>
      <c r="AD84" s="206"/>
      <c r="AE84" s="196"/>
      <c r="AF84" s="196"/>
      <c r="AG84" s="196"/>
      <c r="AH84" s="196"/>
      <c r="AI84" s="196"/>
      <c r="AJ84" s="195"/>
      <c r="AK84" s="208"/>
      <c r="AL84" s="195"/>
    </row>
    <row r="85" s="176" customFormat="true" ht="13.5" hidden="false" customHeight="false" outlineLevel="0" collapsed="false">
      <c r="A85" s="231"/>
      <c r="B85" s="231"/>
      <c r="C85" s="231"/>
      <c r="D85" s="203"/>
      <c r="E85" s="203"/>
      <c r="F85" s="203"/>
      <c r="G85" s="204"/>
      <c r="H85" s="204"/>
      <c r="I85" s="204"/>
      <c r="J85" s="204"/>
      <c r="K85" s="204"/>
      <c r="L85" s="204"/>
      <c r="M85" s="204"/>
      <c r="N85" s="204"/>
      <c r="O85" s="204"/>
      <c r="P85" s="204"/>
      <c r="Q85" s="204"/>
      <c r="R85" s="204"/>
      <c r="S85" s="232"/>
      <c r="T85" s="211"/>
      <c r="U85" s="211"/>
      <c r="V85" s="211"/>
      <c r="W85" s="211"/>
      <c r="X85" s="211"/>
      <c r="Y85" s="232"/>
      <c r="Z85" s="206"/>
      <c r="AA85" s="206"/>
      <c r="AB85" s="206"/>
      <c r="AC85" s="206"/>
      <c r="AD85" s="206"/>
      <c r="AE85" s="196"/>
      <c r="AF85" s="196"/>
      <c r="AG85" s="196"/>
      <c r="AH85" s="196"/>
      <c r="AI85" s="196"/>
      <c r="AJ85" s="195"/>
      <c r="AK85" s="208"/>
      <c r="AL85" s="195"/>
    </row>
    <row r="86" customFormat="false" ht="13.5" hidden="false" customHeight="false" outlineLevel="0" collapsed="false">
      <c r="D86" s="209" t="s">
        <v>272</v>
      </c>
      <c r="E86" s="209"/>
      <c r="F86" s="209"/>
      <c r="G86" s="192" t="n">
        <f aca="false">SUM(G19:G51)</f>
        <v>842619</v>
      </c>
      <c r="H86" s="192" t="n">
        <f aca="false">SUM(H19:H51)</f>
        <v>1050656</v>
      </c>
      <c r="I86" s="192" t="n">
        <f aca="false">SUM(I19:I51)</f>
        <v>861382</v>
      </c>
      <c r="J86" s="192" t="n">
        <f aca="false">SUM(J19:J51)</f>
        <v>1044848</v>
      </c>
      <c r="K86" s="192" t="n">
        <f aca="false">SUM(K19:K51)</f>
        <v>970463</v>
      </c>
      <c r="L86" s="192" t="n">
        <f aca="false">SUM(L19:L51)</f>
        <v>820541</v>
      </c>
      <c r="M86" s="192" t="n">
        <f aca="false">SUM(M19:M51)</f>
        <v>79592.11</v>
      </c>
      <c r="N86" s="192" t="n">
        <f aca="false">SUM(N19:N51)</f>
        <v>109524.1</v>
      </c>
      <c r="O86" s="192" t="n">
        <f aca="false">SUM(O19:O51)</f>
        <v>103170.5</v>
      </c>
      <c r="P86" s="192" t="n">
        <f aca="false">SUM(P19:P51)</f>
        <v>163479.66</v>
      </c>
      <c r="Q86" s="192" t="n">
        <f aca="false">SUM(Q19:Q51)</f>
        <v>159908.972</v>
      </c>
      <c r="R86" s="192" t="n">
        <f aca="false">SUM(R19:R51)</f>
        <v>143854.11</v>
      </c>
      <c r="S86" s="234"/>
      <c r="T86" s="210"/>
      <c r="U86" s="210"/>
      <c r="V86" s="210"/>
      <c r="W86" s="210"/>
      <c r="X86" s="210"/>
      <c r="Y86" s="210"/>
      <c r="Z86" s="210"/>
      <c r="AA86" s="210"/>
      <c r="AB86" s="210"/>
      <c r="AC86" s="210"/>
      <c r="AD86" s="210"/>
      <c r="AE86" s="196"/>
      <c r="AF86" s="196"/>
      <c r="AG86" s="196"/>
      <c r="AH86" s="196"/>
      <c r="AI86" s="211"/>
      <c r="AJ86" s="195"/>
      <c r="AK86" s="195"/>
      <c r="AL86" s="195"/>
    </row>
    <row r="88" customFormat="false" ht="12.75" hidden="false" customHeight="false" outlineLevel="0" collapsed="false">
      <c r="F88" s="227" t="n">
        <f aca="false">SUMIF($A$19:$A$49,"Port d'Andratx",G19:G49)</f>
        <v>378499</v>
      </c>
      <c r="G88" s="227" t="n">
        <f aca="false">SUMIF($A$19:$A$49,"Port d'Andratx",H19:H49)</f>
        <v>422810</v>
      </c>
      <c r="H88" s="227" t="n">
        <f aca="false">SUMIF($A$19:$A$49,"Port d'Andratx",I19:I49)</f>
        <v>348623</v>
      </c>
      <c r="I88" s="227" t="n">
        <f aca="false">SUMIF($A$19:$A$49,"Port d'Andratx",J19:J49)</f>
        <v>408737</v>
      </c>
      <c r="J88" s="227" t="n">
        <f aca="false">SUMIF($A$19:$A$49,"Port d'Andratx",K19:K49)</f>
        <v>345803</v>
      </c>
      <c r="K88" s="227" t="n">
        <f aca="false">SUMIF($A$19:$A$49,"Port d'Andratx",L19:L49)</f>
        <v>192277</v>
      </c>
    </row>
    <row r="89" s="236" customFormat="true" ht="25.5" hidden="false" customHeight="false" outlineLevel="0" collapsed="false">
      <c r="A89" s="190" t="s">
        <v>481</v>
      </c>
      <c r="B89" s="190" t="s">
        <v>482</v>
      </c>
      <c r="C89" s="190" t="s">
        <v>483</v>
      </c>
      <c r="D89" s="190" t="s">
        <v>484</v>
      </c>
      <c r="E89" s="235"/>
      <c r="F89" s="235"/>
      <c r="J89" s="236" t="n">
        <f aca="false">100*(J88-F88)/F88</f>
        <v>-8.63833193746879</v>
      </c>
      <c r="K89" s="236" t="n">
        <f aca="false">100*(K88-F88)/F88</f>
        <v>-49.2001299871334</v>
      </c>
    </row>
    <row r="90" customFormat="false" ht="12.75" hidden="false" customHeight="false" outlineLevel="0" collapsed="false">
      <c r="A90" s="231"/>
      <c r="B90" s="237"/>
      <c r="C90" s="237"/>
      <c r="D90" s="231"/>
      <c r="E90" s="235"/>
      <c r="F90" s="235"/>
    </row>
    <row r="91" customFormat="false" ht="12.75" hidden="false" customHeight="false" outlineLevel="0" collapsed="false">
      <c r="A91" s="231"/>
      <c r="B91" s="237"/>
      <c r="C91" s="237"/>
      <c r="D91" s="231"/>
      <c r="E91" s="235"/>
      <c r="F91" s="235"/>
    </row>
    <row r="92" customFormat="false" ht="12.75" hidden="false" customHeight="false" outlineLevel="0" collapsed="false">
      <c r="A92" s="231"/>
      <c r="B92" s="237"/>
      <c r="C92" s="237"/>
      <c r="D92" s="231"/>
      <c r="E92" s="235"/>
      <c r="F92" s="235"/>
    </row>
    <row r="93" customFormat="false" ht="12.75" hidden="false" customHeight="false" outlineLevel="0" collapsed="false">
      <c r="A93" s="231"/>
      <c r="B93" s="237"/>
      <c r="C93" s="237"/>
      <c r="D93" s="231"/>
      <c r="E93" s="235"/>
      <c r="F93" s="235"/>
    </row>
    <row r="94" customFormat="false" ht="12.75" hidden="false" customHeight="false" outlineLevel="0" collapsed="false">
      <c r="A94" s="231"/>
      <c r="B94" s="237"/>
      <c r="C94" s="237"/>
      <c r="D94" s="231"/>
      <c r="E94" s="235"/>
      <c r="F94" s="235"/>
    </row>
    <row r="95" customFormat="false" ht="12.75" hidden="false" customHeight="false" outlineLevel="0" collapsed="false">
      <c r="A95" s="231"/>
      <c r="B95" s="237"/>
      <c r="C95" s="237"/>
      <c r="D95" s="231"/>
      <c r="E95" s="235"/>
      <c r="F95" s="235"/>
    </row>
    <row r="96" customFormat="false" ht="12.75" hidden="false" customHeight="false" outlineLevel="0" collapsed="false">
      <c r="A96" s="231"/>
      <c r="B96" s="237"/>
      <c r="C96" s="237"/>
      <c r="D96" s="231"/>
      <c r="E96" s="235"/>
      <c r="F96" s="235"/>
    </row>
    <row r="97" customFormat="false" ht="12.75" hidden="false" customHeight="false" outlineLevel="0" collapsed="false">
      <c r="A97" s="231"/>
      <c r="B97" s="237"/>
      <c r="C97" s="237"/>
      <c r="D97" s="231"/>
      <c r="E97" s="235"/>
      <c r="F97" s="235"/>
    </row>
    <row r="98" customFormat="false" ht="12.75" hidden="false" customHeight="false" outlineLevel="0" collapsed="false">
      <c r="A98" s="231"/>
      <c r="B98" s="237"/>
      <c r="C98" s="237"/>
      <c r="D98" s="231"/>
      <c r="E98" s="235"/>
      <c r="F98" s="235"/>
    </row>
    <row r="99" customFormat="false" ht="12.75" hidden="false" customHeight="false" outlineLevel="0" collapsed="false">
      <c r="A99" s="231"/>
      <c r="B99" s="237"/>
      <c r="C99" s="237"/>
      <c r="D99" s="231"/>
      <c r="E99" s="235"/>
      <c r="F99" s="235"/>
    </row>
    <row r="100" customFormat="false" ht="12.75" hidden="false" customHeight="false" outlineLevel="0" collapsed="false">
      <c r="A100" s="231"/>
      <c r="B100" s="237"/>
      <c r="C100" s="237"/>
      <c r="D100" s="231"/>
      <c r="E100" s="235"/>
      <c r="F100" s="235"/>
    </row>
    <row r="101" customFormat="false" ht="12.75" hidden="false" customHeight="false" outlineLevel="0" collapsed="false">
      <c r="A101" s="231"/>
      <c r="B101" s="237"/>
      <c r="C101" s="237"/>
      <c r="D101" s="231"/>
      <c r="E101" s="235"/>
      <c r="F101" s="235"/>
    </row>
    <row r="102" customFormat="false" ht="12.75" hidden="false" customHeight="false" outlineLevel="0" collapsed="false">
      <c r="A102" s="231"/>
      <c r="B102" s="237"/>
      <c r="C102" s="237"/>
      <c r="D102" s="231"/>
      <c r="E102" s="235"/>
      <c r="F102" s="235"/>
    </row>
    <row r="103" customFormat="false" ht="12.75" hidden="false" customHeight="false" outlineLevel="0" collapsed="false">
      <c r="A103" s="231"/>
      <c r="B103" s="237"/>
      <c r="C103" s="237"/>
      <c r="D103" s="231"/>
      <c r="E103" s="235"/>
      <c r="F103" s="235"/>
    </row>
    <row r="104" customFormat="false" ht="12.75" hidden="false" customHeight="false" outlineLevel="0" collapsed="false">
      <c r="A104" s="231"/>
      <c r="B104" s="237"/>
      <c r="C104" s="237"/>
      <c r="D104" s="231"/>
      <c r="E104" s="235"/>
      <c r="F104" s="235"/>
    </row>
    <row r="105" customFormat="false" ht="12.75" hidden="false" customHeight="false" outlineLevel="0" collapsed="false">
      <c r="A105" s="231"/>
      <c r="B105" s="237"/>
      <c r="C105" s="237"/>
      <c r="D105" s="231"/>
      <c r="E105" s="235"/>
      <c r="F105" s="235"/>
    </row>
    <row r="106" customFormat="false" ht="12.75" hidden="false" customHeight="false" outlineLevel="0" collapsed="false">
      <c r="A106" s="231"/>
      <c r="B106" s="237"/>
      <c r="C106" s="237"/>
      <c r="D106" s="231"/>
      <c r="E106" s="235"/>
      <c r="F106" s="235"/>
    </row>
    <row r="107" customFormat="false" ht="12.75" hidden="false" customHeight="false" outlineLevel="0" collapsed="false">
      <c r="A107" s="231"/>
      <c r="B107" s="237"/>
      <c r="C107" s="237"/>
      <c r="D107" s="231"/>
      <c r="E107" s="235"/>
      <c r="F107" s="235"/>
    </row>
    <row r="108" customFormat="false" ht="12.75" hidden="false" customHeight="false" outlineLevel="0" collapsed="false">
      <c r="A108" s="231"/>
      <c r="B108" s="237"/>
      <c r="C108" s="237"/>
      <c r="D108" s="231"/>
      <c r="E108" s="235"/>
      <c r="F108" s="235"/>
    </row>
    <row r="109" customFormat="false" ht="12.75" hidden="false" customHeight="false" outlineLevel="0" collapsed="false">
      <c r="A109" s="231"/>
      <c r="B109" s="237"/>
      <c r="C109" s="237"/>
      <c r="D109" s="231"/>
      <c r="E109" s="235"/>
      <c r="F109" s="235"/>
    </row>
    <row r="110" customFormat="false" ht="12.75" hidden="false" customHeight="false" outlineLevel="0" collapsed="false">
      <c r="A110" s="231"/>
      <c r="B110" s="237"/>
      <c r="C110" s="237"/>
      <c r="D110" s="231"/>
      <c r="E110" s="235"/>
      <c r="F110" s="235"/>
    </row>
    <row r="111" customFormat="false" ht="12.75" hidden="false" customHeight="false" outlineLevel="0" collapsed="false">
      <c r="A111" s="231"/>
      <c r="B111" s="237"/>
      <c r="C111" s="237"/>
      <c r="D111" s="231"/>
      <c r="E111" s="235"/>
      <c r="F111" s="235"/>
    </row>
    <row r="112" customFormat="false" ht="12.75" hidden="false" customHeight="false" outlineLevel="0" collapsed="false">
      <c r="A112" s="231"/>
      <c r="B112" s="237"/>
      <c r="C112" s="237"/>
      <c r="D112" s="231"/>
      <c r="E112" s="235"/>
      <c r="F112" s="235"/>
    </row>
    <row r="113" customFormat="false" ht="12.75" hidden="false" customHeight="false" outlineLevel="0" collapsed="false">
      <c r="A113" s="231"/>
      <c r="B113" s="237"/>
      <c r="C113" s="237"/>
      <c r="D113" s="231"/>
      <c r="E113" s="235"/>
      <c r="F113" s="235"/>
    </row>
    <row r="114" customFormat="false" ht="12.75" hidden="false" customHeight="false" outlineLevel="0" collapsed="false">
      <c r="A114" s="231"/>
      <c r="B114" s="237"/>
      <c r="C114" s="237"/>
      <c r="D114" s="231"/>
      <c r="E114" s="235"/>
      <c r="F114" s="235"/>
    </row>
    <row r="115" customFormat="false" ht="12.75" hidden="false" customHeight="false" outlineLevel="0" collapsed="false">
      <c r="A115" s="231"/>
      <c r="B115" s="237"/>
      <c r="C115" s="237"/>
      <c r="D115" s="231"/>
      <c r="E115" s="235"/>
      <c r="F115" s="235"/>
    </row>
    <row r="116" customFormat="false" ht="12.75" hidden="false" customHeight="false" outlineLevel="0" collapsed="false">
      <c r="A116" s="231"/>
      <c r="B116" s="237"/>
      <c r="C116" s="237"/>
      <c r="D116" s="231"/>
      <c r="E116" s="235"/>
      <c r="F116" s="235"/>
    </row>
    <row r="117" customFormat="false" ht="12.75" hidden="false" customHeight="false" outlineLevel="0" collapsed="false">
      <c r="A117" s="231"/>
      <c r="B117" s="237"/>
      <c r="C117" s="237"/>
      <c r="D117" s="231"/>
      <c r="E117" s="235"/>
      <c r="F117" s="235"/>
    </row>
    <row r="118" customFormat="false" ht="12.75" hidden="false" customHeight="false" outlineLevel="0" collapsed="false">
      <c r="A118" s="231"/>
      <c r="B118" s="237"/>
      <c r="C118" s="237"/>
      <c r="D118" s="231"/>
      <c r="E118" s="235"/>
      <c r="F118" s="235"/>
    </row>
    <row r="119" customFormat="false" ht="12.75" hidden="false" customHeight="false" outlineLevel="0" collapsed="false">
      <c r="A119" s="231"/>
      <c r="B119" s="237"/>
      <c r="C119" s="237"/>
      <c r="D119" s="231"/>
      <c r="E119" s="235"/>
      <c r="F119" s="235"/>
    </row>
    <row r="120" customFormat="false" ht="12.75" hidden="false" customHeight="false" outlineLevel="0" collapsed="false">
      <c r="A120" s="231"/>
      <c r="B120" s="237"/>
      <c r="C120" s="237"/>
      <c r="D120" s="231"/>
      <c r="E120" s="235"/>
      <c r="F120" s="235"/>
    </row>
    <row r="121" customFormat="false" ht="12.75" hidden="false" customHeight="false" outlineLevel="0" collapsed="false">
      <c r="A121" s="231"/>
      <c r="B121" s="237"/>
      <c r="C121" s="237"/>
      <c r="D121" s="231"/>
      <c r="E121" s="235"/>
      <c r="F121" s="235"/>
    </row>
    <row r="122" customFormat="false" ht="12.75" hidden="false" customHeight="false" outlineLevel="0" collapsed="false">
      <c r="A122" s="231"/>
      <c r="B122" s="237"/>
      <c r="C122" s="237"/>
      <c r="D122" s="231"/>
      <c r="E122" s="235"/>
      <c r="F122" s="235"/>
    </row>
    <row r="123" customFormat="false" ht="12.75" hidden="false" customHeight="false" outlineLevel="0" collapsed="false">
      <c r="A123" s="231"/>
      <c r="B123" s="237"/>
      <c r="C123" s="237"/>
      <c r="D123" s="231"/>
      <c r="E123" s="235"/>
      <c r="F123" s="235"/>
    </row>
    <row r="124" customFormat="false" ht="12.75" hidden="false" customHeight="false" outlineLevel="0" collapsed="false">
      <c r="A124" s="231"/>
      <c r="B124" s="237"/>
      <c r="C124" s="237"/>
      <c r="D124" s="231"/>
      <c r="E124" s="235"/>
      <c r="F124" s="235"/>
    </row>
    <row r="125" customFormat="false" ht="12.75" hidden="false" customHeight="false" outlineLevel="0" collapsed="false">
      <c r="A125" s="231"/>
      <c r="B125" s="237"/>
      <c r="C125" s="237"/>
      <c r="D125" s="231"/>
      <c r="E125" s="235"/>
      <c r="F125" s="235"/>
    </row>
    <row r="126" customFormat="false" ht="12.75" hidden="false" customHeight="false" outlineLevel="0" collapsed="false">
      <c r="A126" s="231"/>
      <c r="B126" s="237"/>
      <c r="C126" s="237"/>
      <c r="D126" s="231"/>
      <c r="E126" s="235"/>
      <c r="F126" s="235"/>
    </row>
    <row r="127" customFormat="false" ht="12.75" hidden="false" customHeight="false" outlineLevel="0" collapsed="false">
      <c r="A127" s="231"/>
      <c r="B127" s="237"/>
      <c r="C127" s="237"/>
      <c r="D127" s="231"/>
      <c r="E127" s="235"/>
      <c r="F127" s="235"/>
    </row>
    <row r="128" customFormat="false" ht="12.75" hidden="false" customHeight="false" outlineLevel="0" collapsed="false">
      <c r="A128" s="231"/>
      <c r="B128" s="237"/>
      <c r="C128" s="237"/>
      <c r="D128" s="231"/>
      <c r="E128" s="235"/>
      <c r="F128" s="235"/>
    </row>
    <row r="129" customFormat="false" ht="12.75" hidden="false" customHeight="false" outlineLevel="0" collapsed="false">
      <c r="A129" s="231"/>
      <c r="B129" s="237"/>
      <c r="C129" s="237"/>
      <c r="D129" s="231"/>
      <c r="E129" s="235"/>
      <c r="F129" s="235"/>
    </row>
    <row r="130" customFormat="false" ht="12.75" hidden="false" customHeight="false" outlineLevel="0" collapsed="false">
      <c r="A130" s="231"/>
      <c r="B130" s="237"/>
      <c r="C130" s="237"/>
      <c r="D130" s="231"/>
      <c r="E130" s="235"/>
      <c r="F130" s="235"/>
    </row>
    <row r="131" customFormat="false" ht="12.75" hidden="false" customHeight="false" outlineLevel="0" collapsed="false">
      <c r="A131" s="231"/>
      <c r="B131" s="237"/>
      <c r="C131" s="237"/>
      <c r="D131" s="231"/>
      <c r="E131" s="235"/>
      <c r="F131" s="235"/>
    </row>
    <row r="132" customFormat="false" ht="12.75" hidden="false" customHeight="false" outlineLevel="0" collapsed="false">
      <c r="A132" s="231"/>
      <c r="B132" s="237"/>
      <c r="C132" s="237"/>
      <c r="D132" s="231"/>
      <c r="E132" s="235"/>
      <c r="F132" s="235"/>
    </row>
    <row r="133" customFormat="false" ht="12.75" hidden="false" customHeight="false" outlineLevel="0" collapsed="false">
      <c r="A133" s="231"/>
      <c r="B133" s="237"/>
      <c r="C133" s="237"/>
      <c r="D133" s="231"/>
      <c r="E133" s="235"/>
      <c r="F133" s="235"/>
    </row>
    <row r="134" customFormat="false" ht="12.75" hidden="false" customHeight="false" outlineLevel="0" collapsed="false">
      <c r="A134" s="231"/>
      <c r="B134" s="237"/>
      <c r="C134" s="237"/>
      <c r="D134" s="231"/>
      <c r="E134" s="235"/>
      <c r="F134" s="235"/>
    </row>
    <row r="135" customFormat="false" ht="12.75" hidden="false" customHeight="false" outlineLevel="0" collapsed="false">
      <c r="A135" s="231"/>
      <c r="B135" s="237"/>
      <c r="C135" s="237"/>
      <c r="D135" s="231"/>
      <c r="E135" s="235"/>
      <c r="F135" s="235"/>
    </row>
    <row r="136" customFormat="false" ht="12.75" hidden="false" customHeight="false" outlineLevel="0" collapsed="false">
      <c r="A136" s="231"/>
      <c r="B136" s="237"/>
      <c r="C136" s="237"/>
      <c r="D136" s="231"/>
      <c r="E136" s="235"/>
      <c r="F136" s="235"/>
    </row>
    <row r="137" customFormat="false" ht="12.75" hidden="false" customHeight="false" outlineLevel="0" collapsed="false">
      <c r="A137" s="231"/>
      <c r="B137" s="237"/>
      <c r="C137" s="237"/>
      <c r="D137" s="231"/>
      <c r="E137" s="235"/>
      <c r="F137" s="235"/>
    </row>
    <row r="138" customFormat="false" ht="12.75" hidden="false" customHeight="false" outlineLevel="0" collapsed="false">
      <c r="A138" s="231"/>
      <c r="B138" s="237"/>
      <c r="C138" s="237"/>
      <c r="D138" s="231"/>
      <c r="E138" s="235"/>
      <c r="F138" s="235"/>
    </row>
    <row r="139" customFormat="false" ht="12.75" hidden="false" customHeight="false" outlineLevel="0" collapsed="false">
      <c r="A139" s="231"/>
      <c r="B139" s="237"/>
      <c r="C139" s="237"/>
      <c r="D139" s="231"/>
      <c r="E139" s="235"/>
      <c r="F139" s="235"/>
    </row>
    <row r="140" customFormat="false" ht="12.75" hidden="false" customHeight="false" outlineLevel="0" collapsed="false">
      <c r="A140" s="231"/>
      <c r="B140" s="237"/>
      <c r="C140" s="237"/>
      <c r="D140" s="231"/>
      <c r="E140" s="235"/>
      <c r="F140" s="235"/>
    </row>
    <row r="141" customFormat="false" ht="12.75" hidden="false" customHeight="false" outlineLevel="0" collapsed="false">
      <c r="A141" s="231"/>
      <c r="B141" s="237"/>
      <c r="C141" s="237"/>
      <c r="D141" s="231"/>
      <c r="E141" s="235"/>
      <c r="F141" s="235"/>
    </row>
    <row r="142" customFormat="false" ht="12.75" hidden="false" customHeight="false" outlineLevel="0" collapsed="false">
      <c r="A142" s="231"/>
      <c r="B142" s="237"/>
      <c r="C142" s="237"/>
      <c r="D142" s="231"/>
      <c r="E142" s="235"/>
      <c r="F142" s="235"/>
    </row>
    <row r="143" customFormat="false" ht="12.75" hidden="false" customHeight="false" outlineLevel="0" collapsed="false">
      <c r="A143" s="231"/>
      <c r="B143" s="237"/>
      <c r="C143" s="237"/>
      <c r="D143" s="231"/>
      <c r="E143" s="235"/>
      <c r="F143" s="235"/>
    </row>
    <row r="144" customFormat="false" ht="12.75" hidden="false" customHeight="false" outlineLevel="0" collapsed="false">
      <c r="A144" s="231"/>
      <c r="B144" s="237"/>
      <c r="C144" s="237"/>
      <c r="D144" s="231"/>
      <c r="E144" s="235"/>
      <c r="F144" s="235"/>
    </row>
    <row r="145" customFormat="false" ht="13.5" hidden="false" customHeight="false" outlineLevel="0" collapsed="false">
      <c r="A145" s="192" t="n">
        <f aca="false">SUM(A90:A144)</f>
        <v>0</v>
      </c>
      <c r="B145" s="192"/>
      <c r="C145" s="192"/>
      <c r="D145" s="192" t="n">
        <v>0</v>
      </c>
      <c r="E145" s="234"/>
      <c r="F145" s="234"/>
    </row>
    <row r="149" customFormat="false" ht="13.5" hidden="false" customHeight="false" outlineLevel="0" collapsed="false">
      <c r="A149" s="194" t="s">
        <v>485</v>
      </c>
    </row>
    <row r="151" customFormat="false" ht="13.5" hidden="false" customHeight="false" outlineLevel="0" collapsed="false">
      <c r="B151" s="180" t="s">
        <v>486</v>
      </c>
      <c r="C151" s="180" t="s">
        <v>487</v>
      </c>
      <c r="D151" s="180" t="s">
        <v>488</v>
      </c>
      <c r="E151" s="180" t="s">
        <v>489</v>
      </c>
      <c r="F151" s="149"/>
    </row>
    <row r="152" customFormat="false" ht="13.5" hidden="false" customHeight="false" outlineLevel="0" collapsed="false">
      <c r="A152" s="180" t="s">
        <v>490</v>
      </c>
      <c r="B152" s="238" t="n">
        <v>4</v>
      </c>
      <c r="C152" s="238" t="n">
        <f aca="false">100*2</f>
        <v>200</v>
      </c>
      <c r="D152" s="192" t="n">
        <f aca="false">8760/2</f>
        <v>4380</v>
      </c>
      <c r="E152" s="192" t="n">
        <f aca="false">C152*B152*D152/1000</f>
        <v>3504</v>
      </c>
      <c r="F152" s="234"/>
    </row>
    <row r="153" customFormat="false" ht="13.5" hidden="false" customHeight="false" outlineLevel="0" collapsed="false">
      <c r="A153" s="180" t="s">
        <v>80</v>
      </c>
      <c r="B153" s="238" t="n">
        <v>4</v>
      </c>
      <c r="C153" s="238" t="n">
        <f aca="false">100*3</f>
        <v>300</v>
      </c>
      <c r="D153" s="192" t="n">
        <f aca="false">8760/3</f>
        <v>2920</v>
      </c>
      <c r="E153" s="192" t="n">
        <f aca="false">C153*B153*D153/1000</f>
        <v>3504</v>
      </c>
      <c r="F153" s="234"/>
    </row>
    <row r="154" customFormat="false" ht="13.5" hidden="false" customHeight="false" outlineLevel="0" collapsed="false">
      <c r="A154" s="180" t="s">
        <v>491</v>
      </c>
      <c r="B154" s="238" t="n">
        <v>0</v>
      </c>
      <c r="C154" s="238" t="n">
        <f aca="false">100*2</f>
        <v>200</v>
      </c>
      <c r="D154" s="192" t="n">
        <f aca="false">8760/2</f>
        <v>4380</v>
      </c>
      <c r="E154" s="192" t="n">
        <f aca="false">C154*B154*D154</f>
        <v>0</v>
      </c>
      <c r="F154" s="234"/>
    </row>
    <row r="155" customFormat="false" ht="13.5" hidden="false" customHeight="false" outlineLevel="0" collapsed="false">
      <c r="E155" s="192" t="n">
        <f aca="false">SUM(E152:E154)</f>
        <v>7008</v>
      </c>
    </row>
  </sheetData>
  <mergeCells count="3">
    <mergeCell ref="B3:H3"/>
    <mergeCell ref="G17:L17"/>
    <mergeCell ref="M17:R17"/>
  </mergeCells>
  <conditionalFormatting sqref="A90:A143 C90:C143">
    <cfRule type="expression" priority="2" aboveAverage="0" equalAverage="0" bottom="0" percent="0" rank="0" text="" dxfId="0">
      <formula>+MOD(ROW(),2)</formula>
    </cfRule>
  </conditionalFormatting>
  <conditionalFormatting sqref="A144:C144">
    <cfRule type="expression" priority="3" aboveAverage="0" equalAverage="0" bottom="0" percent="0" rank="0" text="" dxfId="1">
      <formula>+MOD(ROW(),2)</formula>
    </cfRule>
  </conditionalFormatting>
  <dataValidations count="1">
    <dataValidation allowBlank="true" operator="between" showDropDown="false" showErrorMessage="true" showInputMessage="true" sqref="L11:L13" type="list">
      <formula1>$L$11:$L$13</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13.xml><?xml version="1.0" encoding="utf-8"?>
<worksheet xmlns="http://schemas.openxmlformats.org/spreadsheetml/2006/main" xmlns:r="http://schemas.openxmlformats.org/officeDocument/2006/relationships">
  <sheetPr filterMode="false">
    <tabColor rgb="FF92D050"/>
    <pageSetUpPr fitToPage="false"/>
  </sheetPr>
  <dimension ref="A1:AI164"/>
  <sheetViews>
    <sheetView windowProtection="false" showFormulas="false" showGridLines="true" showRowColHeaders="true" showZeros="true" rightToLeft="false" tabSelected="false" showOutlineSymbols="true" defaultGridColor="true" view="normal" topLeftCell="A37" colorId="64" zoomScale="100" zoomScaleNormal="100" zoomScalePageLayoutView="100" workbookViewId="0">
      <selection pane="topLeft" activeCell="G40" activeCellId="0" sqref="G40"/>
    </sheetView>
  </sheetViews>
  <sheetFormatPr defaultRowHeight="12.75"/>
  <cols>
    <col collapsed="false" hidden="false" max="1" min="1" style="227" width="22.4081632653061"/>
    <col collapsed="false" hidden="false" max="2" min="2" style="227" width="14.7142857142857"/>
    <col collapsed="false" hidden="false" max="3" min="3" style="227" width="13.0918367346939"/>
    <col collapsed="false" hidden="false" max="4" min="4" style="227" width="12.8265306122449"/>
    <col collapsed="false" hidden="false" max="7" min="5" style="227" width="11.2040816326531"/>
    <col collapsed="false" hidden="false" max="8" min="8" style="227" width="12.6887755102041"/>
    <col collapsed="false" hidden="false" max="11" min="9" style="227" width="11.2040816326531"/>
    <col collapsed="false" hidden="false" max="12" min="12" style="227" width="12.5561224489796"/>
    <col collapsed="false" hidden="false" max="1025" min="13" style="227" width="11.2040816326531"/>
  </cols>
  <sheetData>
    <row r="1" s="73" customFormat="true" ht="13.5" hidden="false" customHeight="false" outlineLevel="0" collapsed="false">
      <c r="A1" s="83" t="str">
        <f aca="false">'0.DADES'!D2</f>
        <v>Andratx</v>
      </c>
      <c r="H1" s="177" t="s">
        <v>166</v>
      </c>
      <c r="K1" s="182"/>
      <c r="L1" s="182" t="n">
        <f aca="false">'0.DADES'!D8</f>
        <v>2005</v>
      </c>
      <c r="M1" s="182" t="n">
        <f aca="false">'0.DADES'!E8</f>
        <v>2006</v>
      </c>
      <c r="N1" s="182" t="n">
        <f aca="false">'0.DADES'!F8</f>
        <v>2007</v>
      </c>
      <c r="O1" s="182" t="n">
        <f aca="false">'0.DADES'!G8</f>
        <v>2008</v>
      </c>
      <c r="P1" s="182" t="n">
        <f aca="false">'0.DADES'!H8</f>
        <v>2009</v>
      </c>
      <c r="Q1" s="182" t="n">
        <f aca="false">'0.DADES'!I8</f>
        <v>2010</v>
      </c>
    </row>
    <row r="2" customFormat="false" ht="13.5" hidden="false" customHeight="false" outlineLevel="0" collapsed="false">
      <c r="B2" s="73"/>
      <c r="C2" s="73"/>
      <c r="D2" s="73"/>
      <c r="E2" s="73"/>
      <c r="F2" s="73"/>
      <c r="G2" s="73"/>
      <c r="H2" s="107" t="s">
        <v>167</v>
      </c>
      <c r="K2" s="182" t="s">
        <v>402</v>
      </c>
      <c r="L2" s="182" t="n">
        <f aca="false">'0.DADES'!D13</f>
        <v>11037</v>
      </c>
      <c r="M2" s="182" t="n">
        <f aca="false">'0.DADES'!E13</f>
        <v>11594</v>
      </c>
      <c r="N2" s="182" t="n">
        <f aca="false">'0.DADES'!F13</f>
        <v>12091</v>
      </c>
      <c r="O2" s="182" t="n">
        <f aca="false">'0.DADES'!G13</f>
        <v>12406</v>
      </c>
      <c r="P2" s="182" t="n">
        <f aca="false">'0.DADES'!H13</f>
        <v>12789</v>
      </c>
      <c r="Q2" s="182" t="n">
        <f aca="false">'0.DADES'!I13</f>
        <v>12731</v>
      </c>
    </row>
    <row r="3" customFormat="false" ht="24" hidden="false" customHeight="false" outlineLevel="0" collapsed="false">
      <c r="A3" s="103" t="s">
        <v>168</v>
      </c>
      <c r="B3" s="77" t="s">
        <v>38</v>
      </c>
      <c r="C3" s="77"/>
      <c r="D3" s="77"/>
      <c r="E3" s="77"/>
      <c r="F3" s="77"/>
      <c r="H3" s="108" t="s">
        <v>170</v>
      </c>
    </row>
    <row r="4" s="176" customFormat="true" ht="13.5" hidden="false" customHeight="false" outlineLevel="0" collapsed="false"/>
    <row r="5" s="176" customFormat="true" ht="13.5" hidden="false" customHeight="false" outlineLevel="0" collapsed="false"/>
    <row r="6" customFormat="false" ht="13.5" hidden="false" customHeight="false" outlineLevel="0" collapsed="false">
      <c r="A6" s="178"/>
      <c r="B6" s="179" t="n">
        <f aca="false">'0.DADES'!D8</f>
        <v>2005</v>
      </c>
      <c r="C6" s="179" t="n">
        <f aca="false">'0.DADES'!E8</f>
        <v>2006</v>
      </c>
      <c r="D6" s="179" t="n">
        <f aca="false">'0.DADES'!F8</f>
        <v>2007</v>
      </c>
      <c r="E6" s="179" t="n">
        <f aca="false">'0.DADES'!G8</f>
        <v>2008</v>
      </c>
      <c r="F6" s="179" t="n">
        <f aca="false">'0.DADES'!H8</f>
        <v>2009</v>
      </c>
      <c r="G6" s="179" t="n">
        <f aca="false">'0.DADES'!I8</f>
        <v>2010</v>
      </c>
      <c r="H6" s="179" t="s">
        <v>295</v>
      </c>
      <c r="I6" s="178"/>
      <c r="J6" s="178"/>
      <c r="K6" s="178"/>
      <c r="L6" s="178"/>
      <c r="M6" s="178"/>
      <c r="N6" s="178"/>
      <c r="O6" s="178"/>
      <c r="P6" s="178"/>
    </row>
    <row r="7" customFormat="false" ht="13.5" hidden="false" customHeight="false" outlineLevel="0" collapsed="false">
      <c r="A7" s="180" t="s">
        <v>492</v>
      </c>
      <c r="B7" s="153" t="n">
        <v>26</v>
      </c>
      <c r="C7" s="153" t="n">
        <v>33</v>
      </c>
      <c r="D7" s="153" t="n">
        <v>33</v>
      </c>
      <c r="E7" s="153" t="n">
        <v>33</v>
      </c>
      <c r="F7" s="153" t="n">
        <v>33</v>
      </c>
      <c r="G7" s="153" t="n">
        <v>34</v>
      </c>
      <c r="H7" s="239" t="n">
        <f aca="false">(F7-B7)/B7</f>
        <v>0.269230769230769</v>
      </c>
      <c r="I7" s="178"/>
      <c r="J7" s="240"/>
      <c r="K7" s="240"/>
      <c r="L7" s="240"/>
      <c r="M7" s="178"/>
      <c r="N7" s="178"/>
      <c r="O7" s="178"/>
      <c r="P7" s="178"/>
    </row>
    <row r="8" customFormat="false" ht="13.5" hidden="false" customHeight="false" outlineLevel="0" collapsed="false">
      <c r="A8" s="180" t="s">
        <v>300</v>
      </c>
      <c r="B8" s="181" t="n">
        <f aca="false">+D73+D109</f>
        <v>798129.805</v>
      </c>
      <c r="C8" s="181" t="n">
        <f aca="false">+E73+E109</f>
        <v>1104474.305</v>
      </c>
      <c r="D8" s="181" t="n">
        <f aca="false">+F73+F109</f>
        <v>1104474.305</v>
      </c>
      <c r="E8" s="181" t="n">
        <f aca="false">+G73+G109</f>
        <v>1104474.305</v>
      </c>
      <c r="F8" s="181" t="n">
        <f aca="false">+H73+H109</f>
        <v>1104474.305</v>
      </c>
      <c r="G8" s="181" t="n">
        <f aca="false">+I73+I109</f>
        <v>1141423.255</v>
      </c>
      <c r="H8" s="239" t="n">
        <f aca="false">(G8-B8)/B8</f>
        <v>0.430122328284683</v>
      </c>
      <c r="I8" s="178"/>
      <c r="J8" s="240"/>
      <c r="K8" s="240"/>
      <c r="L8" s="240"/>
      <c r="M8" s="178"/>
      <c r="N8" s="178"/>
      <c r="O8" s="178"/>
      <c r="P8" s="178"/>
    </row>
    <row r="9" customFormat="false" ht="13.5" hidden="false" customHeight="false" outlineLevel="0" collapsed="false">
      <c r="A9" s="180" t="s">
        <v>301</v>
      </c>
      <c r="B9" s="181" t="n">
        <f aca="false">+J44+J92</f>
        <v>73782.195</v>
      </c>
      <c r="C9" s="181" t="n">
        <f aca="false">+K44+K92</f>
        <v>109356.92</v>
      </c>
      <c r="D9" s="181" t="n">
        <f aca="false">+L44+L92</f>
        <v>111373.91</v>
      </c>
      <c r="E9" s="181" t="n">
        <f aca="false">+M44+M92</f>
        <v>126512.65</v>
      </c>
      <c r="F9" s="181" t="n">
        <f aca="false">+N44+N92</f>
        <v>105171.1</v>
      </c>
      <c r="G9" s="181" t="n">
        <f aca="false">+O44+O92</f>
        <v>127080.59</v>
      </c>
      <c r="H9" s="239" t="n">
        <f aca="false">(G9-B9)/B9</f>
        <v>0.722374754505474</v>
      </c>
      <c r="I9" s="178"/>
      <c r="J9" s="241"/>
      <c r="K9" s="241"/>
      <c r="L9" s="241"/>
      <c r="M9" s="178"/>
      <c r="N9" s="178"/>
      <c r="O9" s="178"/>
      <c r="P9" s="178"/>
    </row>
    <row r="10" customFormat="false" ht="13.5" hidden="false" customHeight="false" outlineLevel="0" collapsed="false">
      <c r="A10" s="180" t="s">
        <v>302</v>
      </c>
      <c r="B10" s="181" t="n">
        <f aca="false">B9/B8</f>
        <v>0.0924438537914268</v>
      </c>
      <c r="C10" s="181" t="n">
        <f aca="false">C9/C8</f>
        <v>0.0990126429423815</v>
      </c>
      <c r="D10" s="181" t="n">
        <f aca="false">D9/D8</f>
        <v>0.100838842058892</v>
      </c>
      <c r="E10" s="181" t="n">
        <f aca="false">E9/E8</f>
        <v>0.11454558012556</v>
      </c>
      <c r="F10" s="181" t="n">
        <f aca="false">F9/F8</f>
        <v>0.0952227675409796</v>
      </c>
      <c r="G10" s="181" t="n">
        <f aca="false">G9/G8</f>
        <v>0.111335203171413</v>
      </c>
      <c r="H10" s="239" t="n">
        <f aca="false">(F10-B10)/B10</f>
        <v>0.0300605571444762</v>
      </c>
      <c r="I10" s="178"/>
      <c r="J10" s="240"/>
      <c r="K10" s="240"/>
      <c r="L10" s="240"/>
      <c r="M10" s="178"/>
      <c r="N10" s="178"/>
      <c r="O10" s="178"/>
      <c r="P10" s="178"/>
    </row>
    <row r="11" customFormat="false" ht="13.5" hidden="false" customHeight="false" outlineLevel="0" collapsed="false">
      <c r="G11" s="187"/>
      <c r="H11" s="187"/>
      <c r="I11" s="187"/>
      <c r="J11" s="240"/>
      <c r="K11" s="240"/>
      <c r="L11" s="240"/>
      <c r="M11" s="187"/>
      <c r="N11" s="187"/>
      <c r="O11" s="187"/>
      <c r="P11" s="187"/>
      <c r="Q11" s="187"/>
      <c r="S11" s="187"/>
      <c r="T11" s="187"/>
      <c r="U11" s="187"/>
      <c r="V11" s="187"/>
      <c r="W11" s="187"/>
      <c r="Y11" s="187"/>
      <c r="Z11" s="187"/>
      <c r="AA11" s="187"/>
      <c r="AB11" s="187"/>
      <c r="AC11" s="187"/>
      <c r="AD11" s="185"/>
      <c r="AE11" s="186"/>
      <c r="AF11" s="188"/>
      <c r="AG11" s="185"/>
    </row>
    <row r="12" customFormat="false" ht="13.5" hidden="false" customHeight="false" outlineLevel="0" collapsed="false">
      <c r="A12" s="176" t="s">
        <v>493</v>
      </c>
      <c r="B12" s="179" t="n">
        <v>2005</v>
      </c>
      <c r="C12" s="179" t="n">
        <v>2006</v>
      </c>
      <c r="D12" s="179" t="n">
        <v>2007</v>
      </c>
      <c r="E12" s="179" t="n">
        <v>2008</v>
      </c>
      <c r="F12" s="179" t="n">
        <v>2009</v>
      </c>
      <c r="G12" s="179" t="n">
        <v>2010</v>
      </c>
      <c r="H12" s="187"/>
      <c r="I12" s="187"/>
      <c r="J12" s="240"/>
      <c r="K12" s="240"/>
      <c r="L12" s="240"/>
      <c r="M12" s="187"/>
      <c r="N12" s="187"/>
      <c r="O12" s="187"/>
      <c r="P12" s="187"/>
      <c r="Q12" s="187"/>
      <c r="S12" s="187"/>
      <c r="T12" s="187"/>
      <c r="U12" s="187"/>
      <c r="V12" s="187"/>
      <c r="W12" s="187"/>
      <c r="Y12" s="187"/>
      <c r="Z12" s="187"/>
      <c r="AA12" s="187"/>
      <c r="AB12" s="187"/>
      <c r="AC12" s="187"/>
      <c r="AD12" s="185"/>
      <c r="AE12" s="186"/>
      <c r="AF12" s="188"/>
      <c r="AG12" s="185"/>
    </row>
    <row r="13" customFormat="false" ht="13.5" hidden="false" customHeight="false" outlineLevel="0" collapsed="false">
      <c r="A13" s="180" t="s">
        <v>117</v>
      </c>
      <c r="B13" s="242" t="n">
        <v>0.897</v>
      </c>
      <c r="C13" s="242" t="n">
        <v>0.952</v>
      </c>
      <c r="D13" s="242" t="n">
        <v>0.97</v>
      </c>
      <c r="E13" s="242" t="n">
        <v>1.136</v>
      </c>
      <c r="F13" s="242" t="n">
        <v>0.908</v>
      </c>
      <c r="G13" s="242" t="n">
        <v>1.07</v>
      </c>
      <c r="H13" s="187"/>
      <c r="I13" s="187"/>
      <c r="J13" s="240"/>
      <c r="K13" s="240"/>
      <c r="L13" s="240"/>
      <c r="M13" s="187"/>
      <c r="N13" s="187"/>
      <c r="O13" s="187"/>
      <c r="P13" s="187"/>
      <c r="Q13" s="187"/>
      <c r="S13" s="187"/>
      <c r="T13" s="187"/>
      <c r="U13" s="187"/>
      <c r="V13" s="187"/>
      <c r="W13" s="187"/>
      <c r="Y13" s="187"/>
      <c r="Z13" s="187"/>
      <c r="AA13" s="187"/>
      <c r="AB13" s="187"/>
      <c r="AC13" s="187"/>
      <c r="AD13" s="185"/>
      <c r="AE13" s="186"/>
      <c r="AF13" s="188"/>
      <c r="AG13" s="185"/>
    </row>
    <row r="14" customFormat="false" ht="13.5" hidden="false" customHeight="false" outlineLevel="0" collapsed="false">
      <c r="A14" s="180" t="s">
        <v>228</v>
      </c>
      <c r="B14" s="242" t="n">
        <v>0.959</v>
      </c>
      <c r="C14" s="242" t="n">
        <v>1.024</v>
      </c>
      <c r="D14" s="242" t="n">
        <v>1.042</v>
      </c>
      <c r="E14" s="242" t="n">
        <v>1.115</v>
      </c>
      <c r="F14" s="242" t="n">
        <v>1</v>
      </c>
      <c r="G14" s="242" t="n">
        <v>1.158</v>
      </c>
      <c r="H14" s="187"/>
      <c r="I14" s="187"/>
      <c r="J14" s="240"/>
      <c r="K14" s="240"/>
      <c r="L14" s="240"/>
      <c r="M14" s="187"/>
      <c r="N14" s="187"/>
      <c r="O14" s="187"/>
      <c r="P14" s="187"/>
      <c r="Q14" s="187"/>
      <c r="S14" s="187"/>
      <c r="T14" s="187"/>
      <c r="U14" s="187"/>
      <c r="V14" s="187"/>
      <c r="W14" s="187"/>
      <c r="Y14" s="187"/>
      <c r="Z14" s="187"/>
      <c r="AA14" s="187"/>
      <c r="AB14" s="187"/>
      <c r="AC14" s="187"/>
      <c r="AD14" s="185"/>
      <c r="AE14" s="186"/>
      <c r="AF14" s="188"/>
      <c r="AG14" s="185"/>
    </row>
    <row r="15" customFormat="false" ht="13.5" hidden="false" customHeight="false" outlineLevel="0" collapsed="false">
      <c r="G15" s="187"/>
      <c r="H15" s="187"/>
      <c r="I15" s="187"/>
      <c r="J15" s="240"/>
      <c r="K15" s="240"/>
      <c r="L15" s="240"/>
      <c r="M15" s="187"/>
      <c r="N15" s="187"/>
      <c r="O15" s="187"/>
      <c r="P15" s="187"/>
      <c r="Q15" s="187"/>
      <c r="S15" s="187"/>
      <c r="T15" s="187"/>
      <c r="U15" s="187"/>
      <c r="V15" s="187"/>
      <c r="W15" s="187"/>
      <c r="Y15" s="187"/>
      <c r="Z15" s="187"/>
      <c r="AA15" s="187"/>
      <c r="AB15" s="187"/>
      <c r="AC15" s="187"/>
      <c r="AD15" s="185"/>
      <c r="AE15" s="186"/>
      <c r="AF15" s="188"/>
      <c r="AG15" s="185"/>
    </row>
    <row r="16" customFormat="false" ht="13.5" hidden="false" customHeight="false" outlineLevel="0" collapsed="false">
      <c r="G16" s="187"/>
      <c r="H16" s="187"/>
      <c r="I16" s="187"/>
      <c r="J16" s="187"/>
      <c r="K16" s="187"/>
      <c r="M16" s="187"/>
      <c r="N16" s="187"/>
      <c r="O16" s="187"/>
      <c r="P16" s="187"/>
      <c r="Q16" s="187"/>
      <c r="S16" s="187"/>
      <c r="T16" s="187"/>
      <c r="U16" s="187"/>
      <c r="V16" s="187"/>
      <c r="W16" s="187"/>
      <c r="Y16" s="187"/>
      <c r="Z16" s="187"/>
      <c r="AA16" s="187"/>
      <c r="AB16" s="187"/>
      <c r="AC16" s="187"/>
      <c r="AD16" s="185"/>
      <c r="AE16" s="186"/>
      <c r="AF16" s="188"/>
      <c r="AG16" s="185"/>
    </row>
    <row r="17" customFormat="false" ht="13.5" hidden="false" customHeight="false" outlineLevel="0" collapsed="false">
      <c r="A17" s="194" t="s">
        <v>494</v>
      </c>
      <c r="D17" s="182" t="s">
        <v>391</v>
      </c>
      <c r="E17" s="182"/>
      <c r="F17" s="182"/>
      <c r="G17" s="182"/>
      <c r="H17" s="182"/>
      <c r="I17" s="182"/>
      <c r="J17" s="182" t="s">
        <v>322</v>
      </c>
      <c r="K17" s="182"/>
      <c r="L17" s="182"/>
      <c r="M17" s="182"/>
      <c r="N17" s="182"/>
      <c r="O17" s="182"/>
      <c r="P17" s="184"/>
      <c r="Q17" s="184"/>
      <c r="R17" s="195"/>
      <c r="S17" s="184"/>
      <c r="T17" s="184"/>
      <c r="U17" s="184"/>
      <c r="V17" s="184"/>
      <c r="W17" s="184"/>
      <c r="X17" s="195"/>
      <c r="Y17" s="184"/>
      <c r="Z17" s="184"/>
      <c r="AA17" s="184"/>
      <c r="AB17" s="184"/>
      <c r="AC17" s="184"/>
      <c r="AD17" s="196"/>
      <c r="AE17" s="197"/>
      <c r="AF17" s="188"/>
      <c r="AG17" s="196"/>
      <c r="AH17" s="195"/>
      <c r="AI17" s="195"/>
    </row>
    <row r="18" s="249" customFormat="true" ht="25.5" hidden="false" customHeight="false" outlineLevel="0" collapsed="false">
      <c r="A18" s="190" t="s">
        <v>495</v>
      </c>
      <c r="B18" s="190" t="s">
        <v>496</v>
      </c>
      <c r="C18" s="190" t="s">
        <v>497</v>
      </c>
      <c r="D18" s="190" t="n">
        <f aca="false">B6</f>
        <v>2005</v>
      </c>
      <c r="E18" s="190" t="n">
        <f aca="false">C6</f>
        <v>2006</v>
      </c>
      <c r="F18" s="190" t="n">
        <f aca="false">D6</f>
        <v>2007</v>
      </c>
      <c r="G18" s="190" t="n">
        <f aca="false">E6</f>
        <v>2008</v>
      </c>
      <c r="H18" s="190" t="n">
        <f aca="false">F6</f>
        <v>2009</v>
      </c>
      <c r="I18" s="190" t="n">
        <f aca="false">G6</f>
        <v>2010</v>
      </c>
      <c r="J18" s="190" t="n">
        <f aca="false">D18</f>
        <v>2005</v>
      </c>
      <c r="K18" s="190" t="n">
        <f aca="false">E18</f>
        <v>2006</v>
      </c>
      <c r="L18" s="190" t="n">
        <f aca="false">F18</f>
        <v>2007</v>
      </c>
      <c r="M18" s="190" t="n">
        <f aca="false">G18</f>
        <v>2008</v>
      </c>
      <c r="N18" s="190" t="n">
        <f aca="false">H18</f>
        <v>2009</v>
      </c>
      <c r="O18" s="190" t="n">
        <f aca="false">I18</f>
        <v>2010</v>
      </c>
      <c r="P18" s="243"/>
      <c r="Q18" s="244"/>
      <c r="R18" s="244"/>
      <c r="S18" s="244"/>
      <c r="T18" s="244"/>
      <c r="U18" s="244"/>
      <c r="V18" s="243"/>
      <c r="W18" s="244"/>
      <c r="X18" s="244"/>
      <c r="Y18" s="244"/>
      <c r="Z18" s="244"/>
      <c r="AA18" s="244"/>
      <c r="AB18" s="245"/>
      <c r="AC18" s="246"/>
      <c r="AD18" s="247"/>
      <c r="AE18" s="245"/>
      <c r="AF18" s="248"/>
      <c r="AG18" s="248"/>
      <c r="AH18" s="248"/>
      <c r="AI18" s="248"/>
    </row>
    <row r="19" customFormat="false" ht="13.5" hidden="false" customHeight="false" outlineLevel="0" collapsed="false">
      <c r="A19" s="250" t="s">
        <v>498</v>
      </c>
      <c r="B19" s="251" t="s">
        <v>499</v>
      </c>
      <c r="C19" s="250" t="s">
        <v>494</v>
      </c>
      <c r="D19" s="238" t="n">
        <v>3650</v>
      </c>
      <c r="E19" s="238" t="n">
        <v>3650</v>
      </c>
      <c r="F19" s="238" t="n">
        <v>3650</v>
      </c>
      <c r="G19" s="238" t="n">
        <v>3650</v>
      </c>
      <c r="H19" s="238" t="n">
        <v>3650</v>
      </c>
      <c r="I19" s="238" t="n">
        <v>3650</v>
      </c>
      <c r="J19" s="238" t="n">
        <f aca="false">D19*$B$13</f>
        <v>3274.05</v>
      </c>
      <c r="K19" s="238" t="n">
        <f aca="false">E19*$C$13</f>
        <v>3474.8</v>
      </c>
      <c r="L19" s="238" t="n">
        <f aca="false">F19*$D$13</f>
        <v>3540.5</v>
      </c>
      <c r="M19" s="238" t="n">
        <f aca="false">G19*$E$13</f>
        <v>4146.4</v>
      </c>
      <c r="N19" s="238" t="n">
        <f aca="false">H19*$F$13</f>
        <v>3314.2</v>
      </c>
      <c r="O19" s="238" t="n">
        <f aca="false">I19*$G$13</f>
        <v>3905.5</v>
      </c>
      <c r="P19" s="252" t="n">
        <v>2004</v>
      </c>
      <c r="Q19" s="244"/>
      <c r="R19" s="244"/>
      <c r="S19" s="244"/>
      <c r="T19" s="244"/>
      <c r="U19" s="244"/>
      <c r="V19" s="243"/>
      <c r="W19" s="244"/>
      <c r="X19" s="244"/>
      <c r="Y19" s="244"/>
      <c r="Z19" s="244"/>
      <c r="AA19" s="244"/>
      <c r="AB19" s="245"/>
      <c r="AC19" s="246"/>
      <c r="AD19" s="247"/>
      <c r="AE19" s="245"/>
      <c r="AF19" s="248"/>
      <c r="AG19" s="248"/>
      <c r="AH19" s="248"/>
      <c r="AI19" s="248"/>
    </row>
    <row r="20" customFormat="false" ht="13.5" hidden="false" customHeight="false" outlineLevel="0" collapsed="false">
      <c r="A20" s="250" t="s">
        <v>500</v>
      </c>
      <c r="B20" s="251" t="s">
        <v>499</v>
      </c>
      <c r="C20" s="250" t="s">
        <v>494</v>
      </c>
      <c r="D20" s="238" t="n">
        <v>3650</v>
      </c>
      <c r="E20" s="238" t="n">
        <v>3650</v>
      </c>
      <c r="F20" s="238" t="n">
        <v>3650</v>
      </c>
      <c r="G20" s="238" t="n">
        <v>3650</v>
      </c>
      <c r="H20" s="238" t="n">
        <v>3650</v>
      </c>
      <c r="I20" s="238" t="n">
        <v>3650</v>
      </c>
      <c r="J20" s="238" t="n">
        <f aca="false">D20*$B$13</f>
        <v>3274.05</v>
      </c>
      <c r="K20" s="238" t="n">
        <f aca="false">E20*$C$13</f>
        <v>3474.8</v>
      </c>
      <c r="L20" s="238" t="n">
        <f aca="false">F20*$D$13</f>
        <v>3540.5</v>
      </c>
      <c r="M20" s="238" t="n">
        <f aca="false">G20*$E$13</f>
        <v>4146.4</v>
      </c>
      <c r="N20" s="238" t="n">
        <f aca="false">H20*$F$13</f>
        <v>3314.2</v>
      </c>
      <c r="O20" s="238" t="n">
        <f aca="false">I20*$G$13</f>
        <v>3905.5</v>
      </c>
      <c r="P20" s="252" t="n">
        <v>2001</v>
      </c>
      <c r="Q20" s="244"/>
      <c r="R20" s="244"/>
      <c r="S20" s="244"/>
      <c r="T20" s="244"/>
      <c r="U20" s="244"/>
      <c r="V20" s="243"/>
      <c r="W20" s="244"/>
      <c r="X20" s="244"/>
      <c r="Y20" s="244"/>
      <c r="Z20" s="244"/>
      <c r="AA20" s="244"/>
      <c r="AB20" s="245"/>
      <c r="AC20" s="246"/>
      <c r="AD20" s="247"/>
      <c r="AE20" s="245"/>
      <c r="AF20" s="248"/>
      <c r="AG20" s="248"/>
      <c r="AH20" s="248"/>
      <c r="AI20" s="248"/>
    </row>
    <row r="21" customFormat="false" ht="13.5" hidden="false" customHeight="false" outlineLevel="0" collapsed="false">
      <c r="A21" s="250" t="s">
        <v>501</v>
      </c>
      <c r="B21" s="251" t="s">
        <v>499</v>
      </c>
      <c r="C21" s="250" t="s">
        <v>494</v>
      </c>
      <c r="D21" s="238" t="n">
        <v>3650</v>
      </c>
      <c r="E21" s="238" t="n">
        <v>3650</v>
      </c>
      <c r="F21" s="238" t="n">
        <v>3650</v>
      </c>
      <c r="G21" s="238" t="n">
        <v>3650</v>
      </c>
      <c r="H21" s="238" t="n">
        <v>3650</v>
      </c>
      <c r="I21" s="238" t="n">
        <v>3650</v>
      </c>
      <c r="J21" s="238" t="n">
        <f aca="false">D21*$B$13</f>
        <v>3274.05</v>
      </c>
      <c r="K21" s="238" t="n">
        <f aca="false">E21*$C$13</f>
        <v>3474.8</v>
      </c>
      <c r="L21" s="238" t="n">
        <f aca="false">F21*$D$13</f>
        <v>3540.5</v>
      </c>
      <c r="M21" s="238" t="n">
        <f aca="false">G21*$E$13</f>
        <v>4146.4</v>
      </c>
      <c r="N21" s="238" t="n">
        <f aca="false">H21*$F$13</f>
        <v>3314.2</v>
      </c>
      <c r="O21" s="238" t="n">
        <f aca="false">I21*$G$13</f>
        <v>3905.5</v>
      </c>
      <c r="P21" s="252" t="n">
        <v>2003</v>
      </c>
      <c r="Q21" s="244"/>
      <c r="R21" s="244"/>
      <c r="S21" s="244"/>
      <c r="T21" s="244"/>
      <c r="U21" s="244"/>
      <c r="V21" s="243"/>
      <c r="W21" s="244"/>
      <c r="X21" s="244"/>
      <c r="Y21" s="244"/>
      <c r="Z21" s="244"/>
      <c r="AA21" s="244"/>
      <c r="AB21" s="245"/>
      <c r="AC21" s="246"/>
      <c r="AD21" s="247"/>
      <c r="AE21" s="245"/>
      <c r="AF21" s="248"/>
      <c r="AG21" s="248"/>
      <c r="AH21" s="248"/>
      <c r="AI21" s="248"/>
    </row>
    <row r="22" customFormat="false" ht="13.5" hidden="false" customHeight="false" outlineLevel="0" collapsed="false">
      <c r="A22" s="250" t="s">
        <v>502</v>
      </c>
      <c r="B22" s="251" t="s">
        <v>499</v>
      </c>
      <c r="C22" s="250" t="s">
        <v>494</v>
      </c>
      <c r="D22" s="238" t="n">
        <v>0</v>
      </c>
      <c r="E22" s="238" t="n">
        <v>0</v>
      </c>
      <c r="F22" s="238" t="n">
        <v>0</v>
      </c>
      <c r="G22" s="238" t="n">
        <v>0</v>
      </c>
      <c r="H22" s="238" t="n">
        <v>0</v>
      </c>
      <c r="I22" s="238" t="n">
        <v>3650</v>
      </c>
      <c r="J22" s="238" t="n">
        <f aca="false">D22*$B$13</f>
        <v>0</v>
      </c>
      <c r="K22" s="238" t="n">
        <f aca="false">E22*$C$13</f>
        <v>0</v>
      </c>
      <c r="L22" s="238" t="n">
        <f aca="false">F22*$D$13</f>
        <v>0</v>
      </c>
      <c r="M22" s="238" t="n">
        <f aca="false">G22*$E$13</f>
        <v>0</v>
      </c>
      <c r="N22" s="238" t="n">
        <f aca="false">H22*$F$13</f>
        <v>0</v>
      </c>
      <c r="O22" s="238" t="n">
        <f aca="false">I22*$G$13</f>
        <v>3905.5</v>
      </c>
      <c r="P22" s="252" t="n">
        <v>2009</v>
      </c>
      <c r="Q22" s="244"/>
      <c r="R22" s="244"/>
      <c r="S22" s="244"/>
      <c r="T22" s="244"/>
      <c r="U22" s="244"/>
      <c r="V22" s="243"/>
      <c r="W22" s="244"/>
      <c r="X22" s="244"/>
      <c r="Y22" s="244"/>
      <c r="Z22" s="244"/>
      <c r="AA22" s="244"/>
      <c r="AB22" s="245"/>
      <c r="AC22" s="246"/>
      <c r="AD22" s="247"/>
      <c r="AE22" s="245"/>
      <c r="AF22" s="248"/>
      <c r="AG22" s="248"/>
      <c r="AH22" s="248"/>
      <c r="AI22" s="248"/>
    </row>
    <row r="23" customFormat="false" ht="13.5" hidden="false" customHeight="false" outlineLevel="0" collapsed="false">
      <c r="A23" s="250" t="s">
        <v>503</v>
      </c>
      <c r="B23" s="251" t="s">
        <v>504</v>
      </c>
      <c r="C23" s="250" t="s">
        <v>494</v>
      </c>
      <c r="D23" s="238" t="n">
        <v>0</v>
      </c>
      <c r="E23" s="238" t="n">
        <v>4015</v>
      </c>
      <c r="F23" s="238" t="n">
        <v>4015</v>
      </c>
      <c r="G23" s="238" t="n">
        <v>4015</v>
      </c>
      <c r="H23" s="238" t="n">
        <v>4015</v>
      </c>
      <c r="I23" s="238" t="n">
        <v>4015</v>
      </c>
      <c r="J23" s="238" t="n">
        <f aca="false">D23*$B$13</f>
        <v>0</v>
      </c>
      <c r="K23" s="238" t="n">
        <f aca="false">E23*$C$13</f>
        <v>3822.28</v>
      </c>
      <c r="L23" s="238" t="n">
        <f aca="false">F23*$D$13</f>
        <v>3894.55</v>
      </c>
      <c r="M23" s="238" t="n">
        <f aca="false">G23*$E$13</f>
        <v>4561.04</v>
      </c>
      <c r="N23" s="238" t="n">
        <f aca="false">H23*$F$13</f>
        <v>3645.62</v>
      </c>
      <c r="O23" s="238" t="n">
        <f aca="false">I23*$G$13</f>
        <v>4296.05</v>
      </c>
      <c r="P23" s="252" t="n">
        <v>2007</v>
      </c>
      <c r="Q23" s="244"/>
      <c r="R23" s="244"/>
      <c r="S23" s="244"/>
      <c r="T23" s="244"/>
      <c r="U23" s="244"/>
      <c r="V23" s="243"/>
      <c r="W23" s="244"/>
      <c r="X23" s="244"/>
      <c r="Y23" s="244"/>
      <c r="Z23" s="244"/>
      <c r="AA23" s="244"/>
      <c r="AB23" s="245"/>
      <c r="AC23" s="246"/>
      <c r="AD23" s="247"/>
      <c r="AE23" s="245"/>
      <c r="AF23" s="248"/>
      <c r="AG23" s="248"/>
      <c r="AH23" s="248"/>
      <c r="AI23" s="248"/>
    </row>
    <row r="24" customFormat="false" ht="13.5" hidden="false" customHeight="false" outlineLevel="0" collapsed="false">
      <c r="A24" s="250" t="s">
        <v>505</v>
      </c>
      <c r="B24" s="251" t="s">
        <v>504</v>
      </c>
      <c r="C24" s="250" t="s">
        <v>494</v>
      </c>
      <c r="D24" s="238" t="n">
        <v>2555</v>
      </c>
      <c r="E24" s="238" t="n">
        <v>2555</v>
      </c>
      <c r="F24" s="238" t="n">
        <v>2555</v>
      </c>
      <c r="G24" s="238" t="n">
        <v>2555</v>
      </c>
      <c r="H24" s="238" t="n">
        <v>2555</v>
      </c>
      <c r="I24" s="238" t="n">
        <v>2555</v>
      </c>
      <c r="J24" s="238" t="n">
        <f aca="false">D24*$B$13</f>
        <v>2291.835</v>
      </c>
      <c r="K24" s="238" t="n">
        <f aca="false">E24*$C$13</f>
        <v>2432.36</v>
      </c>
      <c r="L24" s="238" t="n">
        <f aca="false">F24*$D$13</f>
        <v>2478.35</v>
      </c>
      <c r="M24" s="238" t="n">
        <f aca="false">G24*$E$13</f>
        <v>2902.48</v>
      </c>
      <c r="N24" s="238" t="n">
        <f aca="false">H24*$F$13</f>
        <v>2319.94</v>
      </c>
      <c r="O24" s="238" t="n">
        <f aca="false">I24*$G$13</f>
        <v>2733.85</v>
      </c>
      <c r="P24" s="252" t="n">
        <v>2002</v>
      </c>
      <c r="Q24" s="244"/>
      <c r="R24" s="244"/>
      <c r="S24" s="244"/>
      <c r="T24" s="244"/>
      <c r="U24" s="244"/>
      <c r="V24" s="243"/>
      <c r="W24" s="244"/>
      <c r="X24" s="244"/>
      <c r="Y24" s="244"/>
      <c r="Z24" s="244"/>
      <c r="AA24" s="244"/>
      <c r="AB24" s="245"/>
      <c r="AC24" s="246"/>
      <c r="AD24" s="247"/>
      <c r="AE24" s="245"/>
      <c r="AF24" s="248"/>
      <c r="AG24" s="248"/>
      <c r="AH24" s="248"/>
      <c r="AI24" s="248"/>
    </row>
    <row r="25" customFormat="false" ht="13.5" hidden="false" customHeight="false" outlineLevel="0" collapsed="false">
      <c r="A25" s="250" t="s">
        <v>506</v>
      </c>
      <c r="B25" s="251" t="s">
        <v>504</v>
      </c>
      <c r="C25" s="250" t="s">
        <v>494</v>
      </c>
      <c r="D25" s="238" t="n">
        <v>2555</v>
      </c>
      <c r="E25" s="238" t="n">
        <v>2555</v>
      </c>
      <c r="F25" s="238" t="n">
        <v>2555</v>
      </c>
      <c r="G25" s="238" t="n">
        <v>2555</v>
      </c>
      <c r="H25" s="238" t="n">
        <v>2555</v>
      </c>
      <c r="I25" s="238" t="n">
        <v>2555</v>
      </c>
      <c r="J25" s="238" t="n">
        <f aca="false">D25*$B$13</f>
        <v>2291.835</v>
      </c>
      <c r="K25" s="238" t="n">
        <f aca="false">E25*$C$13</f>
        <v>2432.36</v>
      </c>
      <c r="L25" s="238" t="n">
        <f aca="false">F25*$D$13</f>
        <v>2478.35</v>
      </c>
      <c r="M25" s="238" t="n">
        <f aca="false">G25*$E$13</f>
        <v>2902.48</v>
      </c>
      <c r="N25" s="238" t="n">
        <f aca="false">H25*$F$13</f>
        <v>2319.94</v>
      </c>
      <c r="O25" s="238" t="n">
        <f aca="false">I25*$G$13</f>
        <v>2733.85</v>
      </c>
      <c r="P25" s="252" t="n">
        <v>2004</v>
      </c>
      <c r="Q25" s="244"/>
      <c r="R25" s="244"/>
      <c r="S25" s="244"/>
      <c r="T25" s="244"/>
      <c r="U25" s="244"/>
      <c r="V25" s="243"/>
      <c r="W25" s="244"/>
      <c r="X25" s="244"/>
      <c r="Y25" s="244"/>
      <c r="Z25" s="244"/>
      <c r="AA25" s="244"/>
      <c r="AB25" s="245"/>
      <c r="AC25" s="246"/>
      <c r="AD25" s="247"/>
      <c r="AE25" s="245"/>
      <c r="AF25" s="248"/>
      <c r="AG25" s="248"/>
      <c r="AH25" s="248"/>
      <c r="AI25" s="248"/>
    </row>
    <row r="26" customFormat="false" ht="13.5" hidden="false" customHeight="false" outlineLevel="0" collapsed="false">
      <c r="A26" s="250" t="s">
        <v>505</v>
      </c>
      <c r="B26" s="251" t="s">
        <v>504</v>
      </c>
      <c r="C26" s="250" t="s">
        <v>494</v>
      </c>
      <c r="D26" s="238" t="n">
        <v>2555</v>
      </c>
      <c r="E26" s="238" t="n">
        <v>2555</v>
      </c>
      <c r="F26" s="238" t="n">
        <v>2555</v>
      </c>
      <c r="G26" s="238" t="n">
        <v>2555</v>
      </c>
      <c r="H26" s="238" t="n">
        <v>2555</v>
      </c>
      <c r="I26" s="238" t="n">
        <v>2555</v>
      </c>
      <c r="J26" s="238" t="n">
        <f aca="false">D26*$B$13</f>
        <v>2291.835</v>
      </c>
      <c r="K26" s="238" t="n">
        <f aca="false">E26*$C$13</f>
        <v>2432.36</v>
      </c>
      <c r="L26" s="238" t="n">
        <f aca="false">F26*$D$13</f>
        <v>2478.35</v>
      </c>
      <c r="M26" s="238" t="n">
        <f aca="false">G26*$E$13</f>
        <v>2902.48</v>
      </c>
      <c r="N26" s="238" t="n">
        <f aca="false">H26*$F$13</f>
        <v>2319.94</v>
      </c>
      <c r="O26" s="238" t="n">
        <f aca="false">I26*$G$13</f>
        <v>2733.85</v>
      </c>
      <c r="P26" s="252" t="n">
        <v>2001</v>
      </c>
      <c r="Q26" s="244"/>
      <c r="R26" s="244"/>
      <c r="S26" s="244"/>
      <c r="T26" s="244"/>
      <c r="U26" s="244"/>
      <c r="V26" s="243"/>
      <c r="W26" s="244"/>
      <c r="X26" s="244"/>
      <c r="Y26" s="244"/>
      <c r="Z26" s="244"/>
      <c r="AA26" s="244"/>
      <c r="AB26" s="245"/>
      <c r="AC26" s="246"/>
      <c r="AD26" s="247"/>
      <c r="AE26" s="245"/>
      <c r="AF26" s="248"/>
      <c r="AG26" s="248"/>
      <c r="AH26" s="248"/>
      <c r="AI26" s="248"/>
    </row>
    <row r="27" customFormat="false" ht="13.5" hidden="false" customHeight="false" outlineLevel="0" collapsed="false">
      <c r="A27" s="250" t="s">
        <v>507</v>
      </c>
      <c r="B27" s="251" t="s">
        <v>508</v>
      </c>
      <c r="C27" s="250" t="s">
        <v>494</v>
      </c>
      <c r="D27" s="238" t="n">
        <v>4015</v>
      </c>
      <c r="E27" s="238" t="n">
        <v>4015</v>
      </c>
      <c r="F27" s="238" t="n">
        <v>4015</v>
      </c>
      <c r="G27" s="238" t="n">
        <v>4015</v>
      </c>
      <c r="H27" s="238" t="n">
        <v>4015</v>
      </c>
      <c r="I27" s="238" t="n">
        <v>4015</v>
      </c>
      <c r="J27" s="238" t="n">
        <f aca="false">D27*$B$13</f>
        <v>3601.455</v>
      </c>
      <c r="K27" s="238" t="n">
        <f aca="false">E27*$C$13</f>
        <v>3822.28</v>
      </c>
      <c r="L27" s="238" t="n">
        <f aca="false">F27*$D$13</f>
        <v>3894.55</v>
      </c>
      <c r="M27" s="238" t="n">
        <f aca="false">G27*$E$13</f>
        <v>4561.04</v>
      </c>
      <c r="N27" s="238" t="n">
        <f aca="false">H27*$F$13</f>
        <v>3645.62</v>
      </c>
      <c r="O27" s="238" t="n">
        <f aca="false">I27*$G$13</f>
        <v>4296.05</v>
      </c>
      <c r="P27" s="252" t="n">
        <v>2004</v>
      </c>
      <c r="Q27" s="244"/>
      <c r="R27" s="244"/>
      <c r="S27" s="244"/>
      <c r="T27" s="244"/>
      <c r="U27" s="244"/>
      <c r="V27" s="243"/>
      <c r="W27" s="244"/>
      <c r="X27" s="244"/>
      <c r="Y27" s="244"/>
      <c r="Z27" s="244"/>
      <c r="AA27" s="244"/>
      <c r="AB27" s="245"/>
      <c r="AC27" s="246"/>
      <c r="AD27" s="247"/>
      <c r="AE27" s="245"/>
      <c r="AF27" s="248"/>
      <c r="AG27" s="248"/>
      <c r="AH27" s="248"/>
      <c r="AI27" s="248"/>
    </row>
    <row r="28" customFormat="false" ht="13.5" hidden="false" customHeight="false" outlineLevel="0" collapsed="false">
      <c r="A28" s="250" t="s">
        <v>507</v>
      </c>
      <c r="B28" s="251" t="s">
        <v>508</v>
      </c>
      <c r="C28" s="250" t="s">
        <v>494</v>
      </c>
      <c r="D28" s="238" t="n">
        <v>4015</v>
      </c>
      <c r="E28" s="238" t="n">
        <v>4015</v>
      </c>
      <c r="F28" s="238" t="n">
        <v>4015</v>
      </c>
      <c r="G28" s="238" t="n">
        <v>4015</v>
      </c>
      <c r="H28" s="238" t="n">
        <v>4015</v>
      </c>
      <c r="I28" s="238" t="n">
        <v>4015</v>
      </c>
      <c r="J28" s="238" t="n">
        <f aca="false">D28*$B$13</f>
        <v>3601.455</v>
      </c>
      <c r="K28" s="238" t="n">
        <f aca="false">E28*$C$13</f>
        <v>3822.28</v>
      </c>
      <c r="L28" s="238" t="n">
        <f aca="false">F28*$D$13</f>
        <v>3894.55</v>
      </c>
      <c r="M28" s="238" t="n">
        <f aca="false">G28*$E$13</f>
        <v>4561.04</v>
      </c>
      <c r="N28" s="238" t="n">
        <f aca="false">H28*$F$13</f>
        <v>3645.62</v>
      </c>
      <c r="O28" s="238" t="n">
        <f aca="false">I28*$G$13</f>
        <v>4296.05</v>
      </c>
      <c r="P28" s="252" t="n">
        <v>2004</v>
      </c>
      <c r="Q28" s="244"/>
      <c r="R28" s="244"/>
      <c r="S28" s="244"/>
      <c r="T28" s="244"/>
      <c r="U28" s="244"/>
      <c r="V28" s="243"/>
      <c r="W28" s="244"/>
      <c r="X28" s="244"/>
      <c r="Y28" s="244"/>
      <c r="Z28" s="244"/>
      <c r="AA28" s="244"/>
      <c r="AB28" s="245"/>
      <c r="AC28" s="246"/>
      <c r="AD28" s="247"/>
      <c r="AE28" s="245"/>
      <c r="AF28" s="248"/>
      <c r="AG28" s="248"/>
      <c r="AH28" s="248"/>
      <c r="AI28" s="248"/>
    </row>
    <row r="29" customFormat="false" ht="13.5" hidden="false" customHeight="false" outlineLevel="0" collapsed="false">
      <c r="A29" s="250" t="s">
        <v>507</v>
      </c>
      <c r="B29" s="251" t="s">
        <v>508</v>
      </c>
      <c r="C29" s="250" t="s">
        <v>494</v>
      </c>
      <c r="D29" s="238" t="n">
        <v>4015</v>
      </c>
      <c r="E29" s="238" t="n">
        <v>4015</v>
      </c>
      <c r="F29" s="238" t="n">
        <v>4015</v>
      </c>
      <c r="G29" s="238" t="n">
        <v>4015</v>
      </c>
      <c r="H29" s="238" t="n">
        <v>4015</v>
      </c>
      <c r="I29" s="238" t="n">
        <v>4015</v>
      </c>
      <c r="J29" s="238" t="n">
        <f aca="false">D29*$B$13</f>
        <v>3601.455</v>
      </c>
      <c r="K29" s="238" t="n">
        <f aca="false">E29*$C$13</f>
        <v>3822.28</v>
      </c>
      <c r="L29" s="238" t="n">
        <f aca="false">F29*$D$13</f>
        <v>3894.55</v>
      </c>
      <c r="M29" s="238" t="n">
        <f aca="false">G29*$E$13</f>
        <v>4561.04</v>
      </c>
      <c r="N29" s="238" t="n">
        <f aca="false">H29*$F$13</f>
        <v>3645.62</v>
      </c>
      <c r="O29" s="238" t="n">
        <f aca="false">I29*$G$13</f>
        <v>4296.05</v>
      </c>
      <c r="P29" s="252" t="n">
        <v>2004</v>
      </c>
      <c r="Q29" s="244"/>
      <c r="R29" s="244"/>
      <c r="S29" s="244"/>
      <c r="T29" s="244"/>
      <c r="U29" s="244"/>
      <c r="V29" s="243"/>
      <c r="W29" s="244"/>
      <c r="X29" s="244"/>
      <c r="Y29" s="244"/>
      <c r="Z29" s="244"/>
      <c r="AA29" s="244"/>
      <c r="AB29" s="245"/>
      <c r="AC29" s="246"/>
      <c r="AD29" s="247"/>
      <c r="AE29" s="245"/>
      <c r="AF29" s="248"/>
      <c r="AG29" s="248"/>
      <c r="AH29" s="248"/>
      <c r="AI29" s="248"/>
    </row>
    <row r="30" customFormat="false" ht="13.5" hidden="false" customHeight="false" outlineLevel="0" collapsed="false">
      <c r="A30" s="250" t="s">
        <v>509</v>
      </c>
      <c r="B30" s="251" t="s">
        <v>508</v>
      </c>
      <c r="C30" s="250" t="s">
        <v>494</v>
      </c>
      <c r="D30" s="238" t="n">
        <v>0</v>
      </c>
      <c r="E30" s="238" t="n">
        <v>4015</v>
      </c>
      <c r="F30" s="238" t="n">
        <v>4015</v>
      </c>
      <c r="G30" s="238" t="n">
        <v>4015</v>
      </c>
      <c r="H30" s="238" t="n">
        <v>4015</v>
      </c>
      <c r="I30" s="238" t="n">
        <v>4015</v>
      </c>
      <c r="J30" s="238" t="n">
        <f aca="false">D30*$B$13</f>
        <v>0</v>
      </c>
      <c r="K30" s="238" t="n">
        <f aca="false">E30*$C$13</f>
        <v>3822.28</v>
      </c>
      <c r="L30" s="238" t="n">
        <f aca="false">F30*$D$13</f>
        <v>3894.55</v>
      </c>
      <c r="M30" s="238" t="n">
        <f aca="false">G30*$E$13</f>
        <v>4561.04</v>
      </c>
      <c r="N30" s="238" t="n">
        <f aca="false">H30*$F$13</f>
        <v>3645.62</v>
      </c>
      <c r="O30" s="238" t="n">
        <f aca="false">I30*$G$13</f>
        <v>4296.05</v>
      </c>
      <c r="P30" s="252" t="n">
        <v>2006</v>
      </c>
      <c r="Q30" s="244"/>
      <c r="R30" s="244"/>
      <c r="S30" s="244"/>
      <c r="T30" s="244"/>
      <c r="U30" s="244"/>
      <c r="V30" s="243"/>
      <c r="W30" s="244"/>
      <c r="X30" s="244"/>
      <c r="Y30" s="244"/>
      <c r="Z30" s="244"/>
      <c r="AA30" s="244"/>
      <c r="AB30" s="245"/>
      <c r="AC30" s="246"/>
      <c r="AD30" s="247"/>
      <c r="AE30" s="245"/>
      <c r="AF30" s="248"/>
      <c r="AG30" s="248"/>
      <c r="AH30" s="248"/>
      <c r="AI30" s="248"/>
    </row>
    <row r="31" customFormat="false" ht="13.5" hidden="false" customHeight="false" outlineLevel="0" collapsed="false">
      <c r="A31" s="250" t="s">
        <v>510</v>
      </c>
      <c r="B31" s="251" t="s">
        <v>511</v>
      </c>
      <c r="C31" s="250" t="s">
        <v>494</v>
      </c>
      <c r="D31" s="238" t="n">
        <v>0</v>
      </c>
      <c r="E31" s="238" t="n">
        <v>3650</v>
      </c>
      <c r="F31" s="238" t="n">
        <v>3650</v>
      </c>
      <c r="G31" s="238" t="n">
        <v>3650</v>
      </c>
      <c r="H31" s="238" t="n">
        <v>3650</v>
      </c>
      <c r="I31" s="238" t="n">
        <v>3650</v>
      </c>
      <c r="J31" s="238" t="n">
        <f aca="false">D31*$B$13</f>
        <v>0</v>
      </c>
      <c r="K31" s="238" t="n">
        <f aca="false">E31*$C$13</f>
        <v>3474.8</v>
      </c>
      <c r="L31" s="238" t="n">
        <f aca="false">F31*$D$13</f>
        <v>3540.5</v>
      </c>
      <c r="M31" s="238" t="n">
        <f aca="false">G31*$E$13</f>
        <v>4146.4</v>
      </c>
      <c r="N31" s="238" t="n">
        <f aca="false">H31*$F$13</f>
        <v>3314.2</v>
      </c>
      <c r="O31" s="238" t="n">
        <f aca="false">I31*$G$13</f>
        <v>3905.5</v>
      </c>
      <c r="P31" s="252" t="n">
        <v>2007</v>
      </c>
      <c r="Q31" s="244"/>
      <c r="R31" s="244"/>
      <c r="S31" s="244"/>
      <c r="T31" s="244"/>
      <c r="U31" s="244"/>
      <c r="V31" s="243"/>
      <c r="W31" s="244"/>
      <c r="X31" s="244"/>
      <c r="Y31" s="244"/>
      <c r="Z31" s="244"/>
      <c r="AA31" s="244"/>
      <c r="AB31" s="245"/>
      <c r="AC31" s="246"/>
      <c r="AD31" s="247"/>
      <c r="AE31" s="245"/>
      <c r="AF31" s="248"/>
      <c r="AG31" s="248"/>
      <c r="AH31" s="248"/>
      <c r="AI31" s="248"/>
    </row>
    <row r="32" customFormat="false" ht="13.5" hidden="false" customHeight="false" outlineLevel="0" collapsed="false">
      <c r="A32" s="250" t="s">
        <v>512</v>
      </c>
      <c r="B32" s="251" t="s">
        <v>513</v>
      </c>
      <c r="C32" s="250" t="s">
        <v>494</v>
      </c>
      <c r="D32" s="238" t="n">
        <v>2555</v>
      </c>
      <c r="E32" s="238" t="n">
        <v>2555</v>
      </c>
      <c r="F32" s="238" t="n">
        <v>2555</v>
      </c>
      <c r="G32" s="238" t="n">
        <v>2555</v>
      </c>
      <c r="H32" s="238" t="n">
        <v>2555</v>
      </c>
      <c r="I32" s="238" t="n">
        <v>2555</v>
      </c>
      <c r="J32" s="238" t="n">
        <f aca="false">D32*$B$13</f>
        <v>2291.835</v>
      </c>
      <c r="K32" s="238" t="n">
        <f aca="false">E32*$C$13</f>
        <v>2432.36</v>
      </c>
      <c r="L32" s="238" t="n">
        <f aca="false">F32*$D$13</f>
        <v>2478.35</v>
      </c>
      <c r="M32" s="238" t="n">
        <f aca="false">G32*$E$13</f>
        <v>2902.48</v>
      </c>
      <c r="N32" s="238" t="n">
        <f aca="false">H32*$F$13</f>
        <v>2319.94</v>
      </c>
      <c r="O32" s="238" t="n">
        <f aca="false">I32*$G$13</f>
        <v>2733.85</v>
      </c>
      <c r="P32" s="252" t="n">
        <v>2001</v>
      </c>
      <c r="Q32" s="244"/>
      <c r="R32" s="244"/>
      <c r="S32" s="244"/>
      <c r="T32" s="244"/>
      <c r="U32" s="244"/>
      <c r="V32" s="243"/>
      <c r="W32" s="244"/>
      <c r="X32" s="244"/>
      <c r="Y32" s="244"/>
      <c r="Z32" s="244"/>
      <c r="AA32" s="244"/>
      <c r="AB32" s="245"/>
      <c r="AC32" s="246"/>
      <c r="AD32" s="247"/>
      <c r="AE32" s="245"/>
      <c r="AF32" s="248"/>
      <c r="AG32" s="248"/>
      <c r="AH32" s="248"/>
      <c r="AI32" s="248"/>
    </row>
    <row r="33" s="176" customFormat="true" ht="13.5" hidden="false" customHeight="false" outlineLevel="0" collapsed="false">
      <c r="A33" s="250" t="s">
        <v>514</v>
      </c>
      <c r="B33" s="251" t="s">
        <v>508</v>
      </c>
      <c r="C33" s="250" t="s">
        <v>494</v>
      </c>
      <c r="D33" s="253" t="n">
        <v>1095</v>
      </c>
      <c r="E33" s="253" t="n">
        <v>1095</v>
      </c>
      <c r="F33" s="253" t="n">
        <v>1095</v>
      </c>
      <c r="G33" s="253" t="n">
        <v>1095</v>
      </c>
      <c r="H33" s="253" t="n">
        <v>1095</v>
      </c>
      <c r="I33" s="253" t="n">
        <v>1095</v>
      </c>
      <c r="J33" s="238" t="n">
        <f aca="false">D33*$B$13</f>
        <v>982.215</v>
      </c>
      <c r="K33" s="238" t="n">
        <f aca="false">E33*$C$13</f>
        <v>1042.44</v>
      </c>
      <c r="L33" s="238" t="n">
        <f aca="false">F33*$D$13</f>
        <v>1062.15</v>
      </c>
      <c r="M33" s="238" t="n">
        <f aca="false">G33*$E$13</f>
        <v>1243.92</v>
      </c>
      <c r="N33" s="238" t="n">
        <f aca="false">H33*$F$13</f>
        <v>994.26</v>
      </c>
      <c r="O33" s="238" t="n">
        <f aca="false">I33*$G$13</f>
        <v>1171.65</v>
      </c>
      <c r="P33" s="254" t="n">
        <v>2006</v>
      </c>
      <c r="Q33" s="195"/>
      <c r="R33" s="195"/>
      <c r="S33" s="195"/>
      <c r="T33" s="195"/>
      <c r="U33" s="195"/>
      <c r="V33" s="232"/>
      <c r="W33" s="206"/>
      <c r="X33" s="206"/>
      <c r="Y33" s="206"/>
      <c r="Z33" s="206"/>
      <c r="AA33" s="206"/>
      <c r="AB33" s="196"/>
      <c r="AC33" s="199"/>
      <c r="AD33" s="197"/>
      <c r="AE33" s="196"/>
      <c r="AF33" s="196"/>
      <c r="AG33" s="195"/>
      <c r="AH33" s="195"/>
      <c r="AI33" s="195"/>
    </row>
    <row r="34" customFormat="false" ht="13.5" hidden="false" customHeight="false" outlineLevel="0" collapsed="false">
      <c r="A34" s="250" t="s">
        <v>514</v>
      </c>
      <c r="B34" s="255" t="s">
        <v>508</v>
      </c>
      <c r="C34" s="250" t="s">
        <v>494</v>
      </c>
      <c r="D34" s="253" t="n">
        <v>1095</v>
      </c>
      <c r="E34" s="253" t="n">
        <v>1095</v>
      </c>
      <c r="F34" s="253" t="n">
        <v>1095</v>
      </c>
      <c r="G34" s="253" t="n">
        <v>1095</v>
      </c>
      <c r="H34" s="253" t="n">
        <v>1095</v>
      </c>
      <c r="I34" s="253" t="n">
        <v>1095</v>
      </c>
      <c r="J34" s="238" t="n">
        <f aca="false">D34*$B$13</f>
        <v>982.215</v>
      </c>
      <c r="K34" s="238" t="n">
        <f aca="false">E34*$C$13</f>
        <v>1042.44</v>
      </c>
      <c r="L34" s="238" t="n">
        <f aca="false">F34*$D$13</f>
        <v>1062.15</v>
      </c>
      <c r="M34" s="238" t="n">
        <f aca="false">G34*$E$13</f>
        <v>1243.92</v>
      </c>
      <c r="N34" s="238" t="n">
        <f aca="false">H34*$F$13</f>
        <v>994.26</v>
      </c>
      <c r="O34" s="238" t="n">
        <f aca="false">I34*$G$13</f>
        <v>1171.65</v>
      </c>
      <c r="P34" s="254" t="n">
        <v>2006</v>
      </c>
      <c r="Q34" s="195"/>
      <c r="R34" s="195"/>
      <c r="S34" s="195"/>
      <c r="T34" s="195"/>
      <c r="U34" s="195"/>
      <c r="V34" s="232"/>
      <c r="W34" s="206"/>
      <c r="X34" s="206"/>
      <c r="Y34" s="206"/>
      <c r="Z34" s="206"/>
      <c r="AA34" s="206"/>
      <c r="AB34" s="196"/>
      <c r="AC34" s="199"/>
      <c r="AD34" s="197"/>
      <c r="AE34" s="196"/>
      <c r="AF34" s="196"/>
      <c r="AG34" s="195"/>
      <c r="AH34" s="195"/>
      <c r="AI34" s="195"/>
    </row>
    <row r="35" customFormat="false" ht="13.5" hidden="false" customHeight="false" outlineLevel="0" collapsed="false">
      <c r="A35" s="250" t="s">
        <v>515</v>
      </c>
      <c r="B35" s="255" t="s">
        <v>511</v>
      </c>
      <c r="C35" s="250" t="s">
        <v>494</v>
      </c>
      <c r="D35" s="253" t="n">
        <v>0</v>
      </c>
      <c r="E35" s="253" t="n">
        <v>5475</v>
      </c>
      <c r="F35" s="253" t="n">
        <v>5475</v>
      </c>
      <c r="G35" s="253" t="n">
        <v>5475</v>
      </c>
      <c r="H35" s="253" t="n">
        <v>5475</v>
      </c>
      <c r="I35" s="253" t="n">
        <v>5475</v>
      </c>
      <c r="J35" s="238" t="n">
        <f aca="false">D35*$B$13</f>
        <v>0</v>
      </c>
      <c r="K35" s="238" t="n">
        <f aca="false">E35*$C$13</f>
        <v>5212.2</v>
      </c>
      <c r="L35" s="238" t="n">
        <f aca="false">F35*$D$13</f>
        <v>5310.75</v>
      </c>
      <c r="M35" s="238" t="n">
        <f aca="false">G35*$E$13</f>
        <v>6219.6</v>
      </c>
      <c r="N35" s="238" t="n">
        <f aca="false">H35*$F$13</f>
        <v>4971.3</v>
      </c>
      <c r="O35" s="238" t="n">
        <f aca="false">I35*$G$13</f>
        <v>5858.25</v>
      </c>
      <c r="P35" s="254" t="n">
        <v>2006</v>
      </c>
      <c r="Q35" s="195"/>
      <c r="R35" s="195"/>
      <c r="S35" s="195"/>
      <c r="T35" s="195"/>
      <c r="U35" s="195"/>
      <c r="V35" s="232"/>
      <c r="W35" s="206"/>
      <c r="X35" s="206"/>
      <c r="Y35" s="206"/>
      <c r="Z35" s="206"/>
      <c r="AA35" s="206"/>
      <c r="AB35" s="196"/>
      <c r="AC35" s="199"/>
      <c r="AD35" s="197"/>
      <c r="AE35" s="196"/>
      <c r="AF35" s="196"/>
      <c r="AG35" s="195"/>
      <c r="AH35" s="195"/>
      <c r="AI35" s="195"/>
    </row>
    <row r="36" customFormat="false" ht="13.5" hidden="false" customHeight="false" outlineLevel="0" collapsed="false">
      <c r="A36" s="250" t="s">
        <v>512</v>
      </c>
      <c r="B36" s="255" t="s">
        <v>516</v>
      </c>
      <c r="C36" s="250" t="s">
        <v>494</v>
      </c>
      <c r="D36" s="253" t="n">
        <v>5475</v>
      </c>
      <c r="E36" s="253" t="n">
        <v>5475</v>
      </c>
      <c r="F36" s="253" t="n">
        <v>5475</v>
      </c>
      <c r="G36" s="253" t="n">
        <v>5475</v>
      </c>
      <c r="H36" s="253" t="n">
        <v>5475</v>
      </c>
      <c r="I36" s="253" t="n">
        <v>5475</v>
      </c>
      <c r="J36" s="238" t="n">
        <f aca="false">D36*$B$13</f>
        <v>4911.075</v>
      </c>
      <c r="K36" s="238" t="n">
        <f aca="false">E36*$C$13</f>
        <v>5212.2</v>
      </c>
      <c r="L36" s="238" t="n">
        <f aca="false">F36*$D$13</f>
        <v>5310.75</v>
      </c>
      <c r="M36" s="238" t="n">
        <f aca="false">G36*$E$13</f>
        <v>6219.6</v>
      </c>
      <c r="N36" s="238" t="n">
        <f aca="false">H36*$F$13</f>
        <v>4971.3</v>
      </c>
      <c r="O36" s="238" t="n">
        <f aca="false">I36*$G$13</f>
        <v>5858.25</v>
      </c>
      <c r="P36" s="254" t="n">
        <v>2006</v>
      </c>
      <c r="Q36" s="195"/>
      <c r="R36" s="195"/>
      <c r="S36" s="195"/>
      <c r="T36" s="195"/>
      <c r="U36" s="195"/>
      <c r="V36" s="232"/>
      <c r="W36" s="206"/>
      <c r="X36" s="206"/>
      <c r="Y36" s="206"/>
      <c r="Z36" s="206"/>
      <c r="AA36" s="206"/>
      <c r="AB36" s="196"/>
      <c r="AC36" s="199"/>
      <c r="AD36" s="197"/>
      <c r="AE36" s="196"/>
      <c r="AF36" s="196"/>
      <c r="AG36" s="195"/>
      <c r="AH36" s="195"/>
      <c r="AI36" s="195"/>
    </row>
    <row r="37" customFormat="false" ht="13.5" hidden="false" customHeight="false" outlineLevel="0" collapsed="false">
      <c r="A37" s="250" t="s">
        <v>512</v>
      </c>
      <c r="B37" s="255" t="s">
        <v>516</v>
      </c>
      <c r="C37" s="250" t="s">
        <v>494</v>
      </c>
      <c r="D37" s="253" t="n">
        <v>5475</v>
      </c>
      <c r="E37" s="253" t="n">
        <v>5475</v>
      </c>
      <c r="F37" s="253" t="n">
        <v>5475</v>
      </c>
      <c r="G37" s="253" t="n">
        <v>5475</v>
      </c>
      <c r="H37" s="253" t="n">
        <v>5475</v>
      </c>
      <c r="I37" s="253" t="n">
        <v>5475</v>
      </c>
      <c r="J37" s="238" t="n">
        <f aca="false">D37*$B$13</f>
        <v>4911.075</v>
      </c>
      <c r="K37" s="238" t="n">
        <f aca="false">E37*$C$13</f>
        <v>5212.2</v>
      </c>
      <c r="L37" s="238" t="n">
        <f aca="false">F37*$D$13</f>
        <v>5310.75</v>
      </c>
      <c r="M37" s="238" t="n">
        <f aca="false">G37*$E$13</f>
        <v>6219.6</v>
      </c>
      <c r="N37" s="238" t="n">
        <f aca="false">H37*$F$13</f>
        <v>4971.3</v>
      </c>
      <c r="O37" s="238" t="n">
        <f aca="false">I37*$G$13</f>
        <v>5858.25</v>
      </c>
      <c r="P37" s="254" t="n">
        <v>2006</v>
      </c>
      <c r="Q37" s="195"/>
      <c r="R37" s="195"/>
      <c r="S37" s="195"/>
      <c r="T37" s="195"/>
      <c r="U37" s="195"/>
      <c r="V37" s="232"/>
      <c r="W37" s="206"/>
      <c r="X37" s="206"/>
      <c r="Y37" s="206"/>
      <c r="Z37" s="206"/>
      <c r="AA37" s="206"/>
      <c r="AB37" s="196"/>
      <c r="AC37" s="199"/>
      <c r="AD37" s="197"/>
      <c r="AE37" s="196"/>
      <c r="AF37" s="196"/>
      <c r="AG37" s="195"/>
      <c r="AH37" s="195"/>
      <c r="AI37" s="195"/>
    </row>
    <row r="38" customFormat="false" ht="13.5" hidden="false" customHeight="false" outlineLevel="0" collapsed="false">
      <c r="A38" s="250" t="s">
        <v>517</v>
      </c>
      <c r="B38" s="255" t="s">
        <v>518</v>
      </c>
      <c r="C38" s="250" t="s">
        <v>494</v>
      </c>
      <c r="D38" s="253" t="n">
        <v>5475</v>
      </c>
      <c r="E38" s="253" t="n">
        <v>5475</v>
      </c>
      <c r="F38" s="253" t="n">
        <v>5475</v>
      </c>
      <c r="G38" s="253" t="n">
        <v>5475</v>
      </c>
      <c r="H38" s="253" t="n">
        <v>5475</v>
      </c>
      <c r="I38" s="253" t="n">
        <v>5475</v>
      </c>
      <c r="J38" s="238" t="n">
        <f aca="false">D38*$B$13</f>
        <v>4911.075</v>
      </c>
      <c r="K38" s="238" t="n">
        <f aca="false">E38*$C$13</f>
        <v>5212.2</v>
      </c>
      <c r="L38" s="238" t="n">
        <f aca="false">F38*$D$13</f>
        <v>5310.75</v>
      </c>
      <c r="M38" s="238" t="n">
        <f aca="false">G38*$E$13</f>
        <v>6219.6</v>
      </c>
      <c r="N38" s="238" t="n">
        <f aca="false">H38*$F$13</f>
        <v>4971.3</v>
      </c>
      <c r="O38" s="238" t="n">
        <f aca="false">I38*$G$13</f>
        <v>5858.25</v>
      </c>
      <c r="P38" s="254" t="n">
        <v>1999</v>
      </c>
      <c r="Q38" s="195"/>
      <c r="R38" s="195"/>
      <c r="S38" s="195"/>
      <c r="T38" s="195"/>
      <c r="U38" s="195"/>
      <c r="V38" s="232"/>
      <c r="W38" s="206"/>
      <c r="X38" s="206"/>
      <c r="Y38" s="206"/>
      <c r="Z38" s="206"/>
      <c r="AA38" s="206"/>
      <c r="AB38" s="196"/>
      <c r="AC38" s="199"/>
      <c r="AD38" s="197"/>
      <c r="AE38" s="196"/>
      <c r="AF38" s="196"/>
      <c r="AG38" s="195"/>
      <c r="AH38" s="195"/>
      <c r="AI38" s="195"/>
    </row>
    <row r="39" customFormat="false" ht="13.5" hidden="false" customHeight="false" outlineLevel="0" collapsed="false">
      <c r="A39" s="250" t="s">
        <v>519</v>
      </c>
      <c r="B39" s="255" t="s">
        <v>504</v>
      </c>
      <c r="C39" s="250" t="s">
        <v>494</v>
      </c>
      <c r="D39" s="253" t="n">
        <v>1460</v>
      </c>
      <c r="E39" s="253" t="n">
        <v>1460</v>
      </c>
      <c r="F39" s="253" t="n">
        <v>1460</v>
      </c>
      <c r="G39" s="253" t="n">
        <v>1460</v>
      </c>
      <c r="H39" s="253" t="n">
        <v>1460</v>
      </c>
      <c r="I39" s="253" t="n">
        <v>1460</v>
      </c>
      <c r="J39" s="238" t="n">
        <f aca="false">D39*$B$13</f>
        <v>1309.62</v>
      </c>
      <c r="K39" s="238" t="n">
        <f aca="false">E39*$C$13</f>
        <v>1389.92</v>
      </c>
      <c r="L39" s="238" t="n">
        <f aca="false">F39*$D$13</f>
        <v>1416.2</v>
      </c>
      <c r="M39" s="238" t="n">
        <f aca="false">G39*$E$13</f>
        <v>1658.56</v>
      </c>
      <c r="N39" s="238" t="n">
        <f aca="false">H39*$F$13</f>
        <v>1325.68</v>
      </c>
      <c r="O39" s="238" t="n">
        <f aca="false">I39*$G$13</f>
        <v>1562.2</v>
      </c>
      <c r="P39" s="256" t="n">
        <v>1999</v>
      </c>
      <c r="Q39" s="195"/>
      <c r="R39" s="195"/>
      <c r="S39" s="195"/>
      <c r="T39" s="195"/>
      <c r="U39" s="195"/>
      <c r="V39" s="232"/>
      <c r="W39" s="206"/>
      <c r="X39" s="206"/>
      <c r="Y39" s="206"/>
      <c r="Z39" s="206"/>
      <c r="AA39" s="206"/>
      <c r="AB39" s="196"/>
      <c r="AC39" s="199"/>
      <c r="AD39" s="197"/>
      <c r="AE39" s="196"/>
      <c r="AF39" s="196"/>
      <c r="AG39" s="195"/>
      <c r="AH39" s="195"/>
      <c r="AI39" s="195"/>
    </row>
    <row r="40" customFormat="false" ht="13.5" hidden="false" customHeight="false" outlineLevel="0" collapsed="false">
      <c r="A40" s="250" t="s">
        <v>520</v>
      </c>
      <c r="B40" s="255" t="s">
        <v>521</v>
      </c>
      <c r="C40" s="250" t="s">
        <v>494</v>
      </c>
      <c r="D40" s="253" t="n">
        <v>2190</v>
      </c>
      <c r="E40" s="253" t="n">
        <v>2190</v>
      </c>
      <c r="F40" s="253" t="n">
        <v>2190</v>
      </c>
      <c r="G40" s="253" t="n">
        <v>2190</v>
      </c>
      <c r="H40" s="253" t="n">
        <v>2190</v>
      </c>
      <c r="I40" s="253" t="n">
        <v>2190</v>
      </c>
      <c r="J40" s="238" t="n">
        <f aca="false">D40*$B$13</f>
        <v>1964.43</v>
      </c>
      <c r="K40" s="238" t="n">
        <f aca="false">E40*$C$13</f>
        <v>2084.88</v>
      </c>
      <c r="L40" s="238" t="n">
        <f aca="false">F40*$D$13</f>
        <v>2124.3</v>
      </c>
      <c r="M40" s="238" t="n">
        <f aca="false">G40*$E$13</f>
        <v>2487.84</v>
      </c>
      <c r="N40" s="238" t="n">
        <f aca="false">H40*$F$13</f>
        <v>1988.52</v>
      </c>
      <c r="O40" s="238" t="n">
        <f aca="false">I40*$G$13</f>
        <v>2343.3</v>
      </c>
      <c r="P40" s="256" t="n">
        <v>2000</v>
      </c>
      <c r="Q40" s="195"/>
      <c r="R40" s="195"/>
      <c r="S40" s="195"/>
      <c r="T40" s="195"/>
      <c r="U40" s="195"/>
      <c r="V40" s="232"/>
      <c r="W40" s="206"/>
      <c r="X40" s="206"/>
      <c r="Y40" s="206"/>
      <c r="Z40" s="206"/>
      <c r="AA40" s="206"/>
      <c r="AB40" s="196"/>
      <c r="AC40" s="199"/>
      <c r="AD40" s="197"/>
      <c r="AE40" s="196"/>
      <c r="AF40" s="196"/>
      <c r="AG40" s="195"/>
      <c r="AH40" s="195"/>
      <c r="AI40" s="195"/>
    </row>
    <row r="41" customFormat="false" ht="13.5" hidden="false" customHeight="false" outlineLevel="0" collapsed="false">
      <c r="A41" s="250" t="s">
        <v>506</v>
      </c>
      <c r="B41" s="255" t="s">
        <v>522</v>
      </c>
      <c r="C41" s="250" t="s">
        <v>494</v>
      </c>
      <c r="D41" s="253" t="n">
        <v>1095</v>
      </c>
      <c r="E41" s="253" t="n">
        <v>1095</v>
      </c>
      <c r="F41" s="253" t="n">
        <v>1095</v>
      </c>
      <c r="G41" s="253" t="n">
        <v>1095</v>
      </c>
      <c r="H41" s="253" t="n">
        <v>1095</v>
      </c>
      <c r="I41" s="253" t="n">
        <v>1095</v>
      </c>
      <c r="J41" s="238" t="n">
        <f aca="false">D41*$B$13</f>
        <v>982.215</v>
      </c>
      <c r="K41" s="238" t="n">
        <f aca="false">E41*$C$13</f>
        <v>1042.44</v>
      </c>
      <c r="L41" s="238" t="n">
        <f aca="false">F41*$D$13</f>
        <v>1062.15</v>
      </c>
      <c r="M41" s="238" t="n">
        <f aca="false">G41*$E$13</f>
        <v>1243.92</v>
      </c>
      <c r="N41" s="238" t="n">
        <f aca="false">H41*$F$13</f>
        <v>994.26</v>
      </c>
      <c r="O41" s="238" t="n">
        <f aca="false">I41*$G$13</f>
        <v>1171.65</v>
      </c>
      <c r="P41" s="256" t="n">
        <v>1999</v>
      </c>
      <c r="Q41" s="195"/>
      <c r="R41" s="195"/>
      <c r="S41" s="195"/>
      <c r="T41" s="195"/>
      <c r="U41" s="195"/>
      <c r="V41" s="232"/>
      <c r="W41" s="206"/>
      <c r="X41" s="206"/>
      <c r="Y41" s="206"/>
      <c r="Z41" s="206"/>
      <c r="AA41" s="206"/>
      <c r="AB41" s="196"/>
      <c r="AC41" s="199"/>
      <c r="AD41" s="197"/>
      <c r="AE41" s="196"/>
      <c r="AF41" s="196"/>
      <c r="AG41" s="195"/>
      <c r="AH41" s="195"/>
      <c r="AI41" s="195"/>
    </row>
    <row r="42" customFormat="false" ht="13.5" hidden="false" customHeight="false" outlineLevel="0" collapsed="false">
      <c r="A42" s="250" t="s">
        <v>523</v>
      </c>
      <c r="B42" s="255" t="s">
        <v>522</v>
      </c>
      <c r="C42" s="250" t="s">
        <v>494</v>
      </c>
      <c r="D42" s="253" t="n">
        <v>1095</v>
      </c>
      <c r="E42" s="253" t="n">
        <v>1095</v>
      </c>
      <c r="F42" s="253" t="n">
        <v>1095</v>
      </c>
      <c r="G42" s="253" t="n">
        <v>1095</v>
      </c>
      <c r="H42" s="253" t="n">
        <v>1095</v>
      </c>
      <c r="I42" s="253" t="n">
        <v>1095</v>
      </c>
      <c r="J42" s="238" t="n">
        <f aca="false">D42*$B$13</f>
        <v>982.215</v>
      </c>
      <c r="K42" s="238" t="n">
        <f aca="false">E42*$C$13</f>
        <v>1042.44</v>
      </c>
      <c r="L42" s="238" t="n">
        <f aca="false">F42*$D$13</f>
        <v>1062.15</v>
      </c>
      <c r="M42" s="238" t="n">
        <f aca="false">G42*$E$13</f>
        <v>1243.92</v>
      </c>
      <c r="N42" s="238" t="n">
        <f aca="false">H42*$F$13</f>
        <v>994.26</v>
      </c>
      <c r="O42" s="238" t="n">
        <f aca="false">I42*$G$13</f>
        <v>1171.65</v>
      </c>
      <c r="P42" s="254" t="n">
        <v>2003</v>
      </c>
      <c r="Q42" s="195"/>
      <c r="R42" s="195"/>
      <c r="S42" s="195"/>
      <c r="T42" s="195"/>
      <c r="U42" s="195"/>
      <c r="V42" s="232"/>
      <c r="W42" s="206"/>
      <c r="X42" s="206"/>
      <c r="Y42" s="206"/>
      <c r="Z42" s="206"/>
      <c r="AA42" s="206"/>
      <c r="AB42" s="196"/>
      <c r="AC42" s="199"/>
      <c r="AD42" s="197"/>
      <c r="AE42" s="196"/>
      <c r="AF42" s="196"/>
      <c r="AG42" s="195"/>
      <c r="AH42" s="195"/>
      <c r="AI42" s="195"/>
    </row>
    <row r="43" customFormat="false" ht="13.5" hidden="false" customHeight="false" outlineLevel="0" collapsed="false">
      <c r="A43" s="250"/>
      <c r="B43" s="255"/>
      <c r="C43" s="250" t="s">
        <v>494</v>
      </c>
      <c r="D43" s="204"/>
      <c r="E43" s="204"/>
      <c r="F43" s="204"/>
      <c r="G43" s="204"/>
      <c r="H43" s="204"/>
      <c r="I43" s="204"/>
      <c r="J43" s="238" t="n">
        <f aca="false">D43*$B$13</f>
        <v>0</v>
      </c>
      <c r="K43" s="238" t="n">
        <f aca="false">E43*$C$13</f>
        <v>0</v>
      </c>
      <c r="L43" s="238" t="n">
        <f aca="false">F43*$D$13</f>
        <v>0</v>
      </c>
      <c r="M43" s="238" t="n">
        <f aca="false">G43*$E$13</f>
        <v>0</v>
      </c>
      <c r="N43" s="238" t="n">
        <f aca="false">H43*$F$13</f>
        <v>0</v>
      </c>
      <c r="O43" s="238" t="n">
        <f aca="false">I43*$G$13</f>
        <v>0</v>
      </c>
      <c r="P43" s="254"/>
      <c r="Q43" s="195"/>
      <c r="R43" s="195"/>
      <c r="S43" s="195"/>
      <c r="T43" s="195"/>
      <c r="U43" s="195"/>
      <c r="V43" s="232"/>
      <c r="W43" s="206"/>
      <c r="X43" s="206"/>
      <c r="Y43" s="206"/>
      <c r="Z43" s="206"/>
      <c r="AA43" s="206"/>
      <c r="AB43" s="196"/>
      <c r="AC43" s="199"/>
      <c r="AD43" s="197"/>
      <c r="AE43" s="196"/>
      <c r="AF43" s="196"/>
      <c r="AG43" s="195"/>
      <c r="AH43" s="195"/>
      <c r="AI43" s="195"/>
    </row>
    <row r="44" customFormat="false" ht="13.5" hidden="false" customHeight="false" outlineLevel="0" collapsed="false">
      <c r="A44" s="257" t="s">
        <v>272</v>
      </c>
      <c r="B44" s="257"/>
      <c r="C44" s="257"/>
      <c r="D44" s="258" t="n">
        <f aca="false">SUM(D19:D43)</f>
        <v>57670</v>
      </c>
      <c r="E44" s="258" t="n">
        <f aca="false">SUM(E19:E43)</f>
        <v>74825</v>
      </c>
      <c r="F44" s="258" t="n">
        <f aca="false">SUM(F19:F43)</f>
        <v>74825</v>
      </c>
      <c r="G44" s="258" t="n">
        <f aca="false">SUM(G19:G43)</f>
        <v>74825</v>
      </c>
      <c r="H44" s="258" t="n">
        <f aca="false">SUM(H19:H43)</f>
        <v>74825</v>
      </c>
      <c r="I44" s="258" t="n">
        <f aca="false">SUM(I19:I43)</f>
        <v>78475</v>
      </c>
      <c r="J44" s="204" t="n">
        <f aca="false">SUM(J19:J43)</f>
        <v>51729.99</v>
      </c>
      <c r="K44" s="204" t="n">
        <f aca="false">SUM(K19:K43)</f>
        <v>71233.4</v>
      </c>
      <c r="L44" s="204" t="n">
        <f aca="false">SUM(L19:L43)</f>
        <v>72580.25</v>
      </c>
      <c r="M44" s="204" t="n">
        <f aca="false">SUM(M19:M43)</f>
        <v>85001.2</v>
      </c>
      <c r="N44" s="204" t="n">
        <f aca="false">SUM(N19:N43)</f>
        <v>67941.1</v>
      </c>
      <c r="O44" s="204" t="n">
        <f aca="false">SUM(O19:O43)</f>
        <v>83968.25</v>
      </c>
      <c r="P44" s="259"/>
    </row>
    <row r="46" customFormat="false" ht="13.5" hidden="false" customHeight="false" outlineLevel="0" collapsed="false">
      <c r="A46" s="194"/>
      <c r="B46" s="176"/>
      <c r="C46" s="176"/>
      <c r="D46" s="182" t="s">
        <v>524</v>
      </c>
      <c r="E46" s="182"/>
      <c r="F46" s="182"/>
      <c r="G46" s="182"/>
      <c r="H46" s="182"/>
      <c r="I46" s="182"/>
    </row>
    <row r="47" customFormat="false" ht="25.5" hidden="false" customHeight="false" outlineLevel="0" collapsed="false">
      <c r="A47" s="190" t="s">
        <v>495</v>
      </c>
      <c r="B47" s="190" t="s">
        <v>496</v>
      </c>
      <c r="C47" s="190" t="s">
        <v>497</v>
      </c>
      <c r="D47" s="190" t="n">
        <f aca="false">D18</f>
        <v>2005</v>
      </c>
      <c r="E47" s="190" t="n">
        <f aca="false">E18</f>
        <v>2006</v>
      </c>
      <c r="F47" s="190" t="n">
        <f aca="false">F18</f>
        <v>2007</v>
      </c>
      <c r="G47" s="190" t="n">
        <f aca="false">G18</f>
        <v>2008</v>
      </c>
      <c r="H47" s="190" t="n">
        <f aca="false">H18</f>
        <v>2009</v>
      </c>
      <c r="I47" s="190" t="n">
        <f aca="false">I18</f>
        <v>2010</v>
      </c>
    </row>
    <row r="48" customFormat="false" ht="13.5" hidden="false" customHeight="false" outlineLevel="0" collapsed="false">
      <c r="A48" s="257" t="str">
        <f aca="false">A19</f>
        <v>Citroën Xsara Picasso</v>
      </c>
      <c r="B48" s="260" t="str">
        <f aca="false">B19</f>
        <v>Policía Local</v>
      </c>
      <c r="C48" s="257" t="str">
        <f aca="false">C19</f>
        <v>GASOIL</v>
      </c>
      <c r="D48" s="261" t="n">
        <f aca="false">D19*'0.DADES'!$E$65</f>
        <v>36948.95</v>
      </c>
      <c r="E48" s="261" t="n">
        <f aca="false">E19*'0.DADES'!$E$65</f>
        <v>36948.95</v>
      </c>
      <c r="F48" s="261" t="n">
        <f aca="false">F19*'0.DADES'!$E$65</f>
        <v>36948.95</v>
      </c>
      <c r="G48" s="261" t="n">
        <f aca="false">G19*'0.DADES'!$E$65</f>
        <v>36948.95</v>
      </c>
      <c r="H48" s="261" t="n">
        <f aca="false">H19*'0.DADES'!$E$65</f>
        <v>36948.95</v>
      </c>
      <c r="I48" s="261" t="n">
        <f aca="false">I19*'0.DADES'!$E$65</f>
        <v>36948.95</v>
      </c>
    </row>
    <row r="49" customFormat="false" ht="13.5" hidden="false" customHeight="false" outlineLevel="0" collapsed="false">
      <c r="A49" s="257" t="str">
        <f aca="false">A20</f>
        <v>Peugeot 306</v>
      </c>
      <c r="B49" s="260" t="str">
        <f aca="false">B20</f>
        <v>Policía Local</v>
      </c>
      <c r="C49" s="257" t="str">
        <f aca="false">C20</f>
        <v>GASOIL</v>
      </c>
      <c r="D49" s="261" t="n">
        <f aca="false">D20*'0.DADES'!$E$65</f>
        <v>36948.95</v>
      </c>
      <c r="E49" s="261" t="n">
        <f aca="false">E20*'0.DADES'!$E$65</f>
        <v>36948.95</v>
      </c>
      <c r="F49" s="261" t="n">
        <f aca="false">F20*'0.DADES'!$E$65</f>
        <v>36948.95</v>
      </c>
      <c r="G49" s="261" t="n">
        <f aca="false">G20*'0.DADES'!$E$65</f>
        <v>36948.95</v>
      </c>
      <c r="H49" s="261" t="n">
        <f aca="false">H20*'0.DADES'!$E$65</f>
        <v>36948.95</v>
      </c>
      <c r="I49" s="261" t="n">
        <f aca="false">I20*'0.DADES'!$E$65</f>
        <v>36948.95</v>
      </c>
    </row>
    <row r="50" customFormat="false" ht="13.5" hidden="false" customHeight="false" outlineLevel="0" collapsed="false">
      <c r="A50" s="257" t="str">
        <f aca="false">A21</f>
        <v>Peugeot 307</v>
      </c>
      <c r="B50" s="260" t="str">
        <f aca="false">B21</f>
        <v>Policía Local</v>
      </c>
      <c r="C50" s="257" t="str">
        <f aca="false">C21</f>
        <v>GASOIL</v>
      </c>
      <c r="D50" s="261" t="n">
        <f aca="false">D21*'0.DADES'!$E$65</f>
        <v>36948.95</v>
      </c>
      <c r="E50" s="261" t="n">
        <f aca="false">E21*'0.DADES'!$E$65</f>
        <v>36948.95</v>
      </c>
      <c r="F50" s="261" t="n">
        <f aca="false">F21*'0.DADES'!$E$65</f>
        <v>36948.95</v>
      </c>
      <c r="G50" s="261" t="n">
        <f aca="false">G21*'0.DADES'!$E$65</f>
        <v>36948.95</v>
      </c>
      <c r="H50" s="261" t="n">
        <f aca="false">H21*'0.DADES'!$E$65</f>
        <v>36948.95</v>
      </c>
      <c r="I50" s="261" t="n">
        <f aca="false">I21*'0.DADES'!$E$65</f>
        <v>36948.95</v>
      </c>
    </row>
    <row r="51" customFormat="false" ht="13.5" hidden="false" customHeight="false" outlineLevel="0" collapsed="false">
      <c r="A51" s="257" t="str">
        <f aca="false">A22</f>
        <v>Renault Megane</v>
      </c>
      <c r="B51" s="260" t="str">
        <f aca="false">B22</f>
        <v>Policía Local</v>
      </c>
      <c r="C51" s="257" t="str">
        <f aca="false">C22</f>
        <v>GASOIL</v>
      </c>
      <c r="D51" s="261" t="n">
        <f aca="false">D22*'0.DADES'!$E$65</f>
        <v>0</v>
      </c>
      <c r="E51" s="261" t="n">
        <f aca="false">E22*'0.DADES'!$E$65</f>
        <v>0</v>
      </c>
      <c r="F51" s="261" t="n">
        <f aca="false">F22*'0.DADES'!$E$65</f>
        <v>0</v>
      </c>
      <c r="G51" s="261" t="n">
        <f aca="false">G22*'0.DADES'!$E$65</f>
        <v>0</v>
      </c>
      <c r="H51" s="261" t="n">
        <f aca="false">H22*'0.DADES'!$E$65</f>
        <v>0</v>
      </c>
      <c r="I51" s="261" t="n">
        <f aca="false">I22*'0.DADES'!$E$65</f>
        <v>36948.95</v>
      </c>
    </row>
    <row r="52" customFormat="false" ht="13.5" hidden="false" customHeight="false" outlineLevel="0" collapsed="false">
      <c r="A52" s="257" t="str">
        <f aca="false">A23</f>
        <v>Ford Transit</v>
      </c>
      <c r="B52" s="260" t="str">
        <f aca="false">B23</f>
        <v>Brigada Obras</v>
      </c>
      <c r="C52" s="257" t="str">
        <f aca="false">C23</f>
        <v>GASOIL</v>
      </c>
      <c r="D52" s="261" t="n">
        <f aca="false">D23*'0.DADES'!$E$65</f>
        <v>0</v>
      </c>
      <c r="E52" s="261" t="n">
        <f aca="false">E23*'0.DADES'!$E$65</f>
        <v>40643.845</v>
      </c>
      <c r="F52" s="261" t="n">
        <f aca="false">F23*'0.DADES'!$E$65</f>
        <v>40643.845</v>
      </c>
      <c r="G52" s="261" t="n">
        <f aca="false">G23*'0.DADES'!$E$65</f>
        <v>40643.845</v>
      </c>
      <c r="H52" s="261" t="n">
        <f aca="false">H23*'0.DADES'!$E$65</f>
        <v>40643.845</v>
      </c>
      <c r="I52" s="261" t="n">
        <f aca="false">I23*'0.DADES'!$E$65</f>
        <v>40643.845</v>
      </c>
    </row>
    <row r="53" customFormat="false" ht="13.5" hidden="false" customHeight="false" outlineLevel="0" collapsed="false">
      <c r="A53" s="257" t="str">
        <f aca="false">A24</f>
        <v>Peugeot</v>
      </c>
      <c r="B53" s="260" t="str">
        <f aca="false">B24</f>
        <v>Brigada Obras</v>
      </c>
      <c r="C53" s="257" t="str">
        <f aca="false">C24</f>
        <v>GASOIL</v>
      </c>
      <c r="D53" s="261" t="n">
        <f aca="false">D24*'0.DADES'!$E$65</f>
        <v>25864.265</v>
      </c>
      <c r="E53" s="261" t="n">
        <f aca="false">E24*'0.DADES'!$E$65</f>
        <v>25864.265</v>
      </c>
      <c r="F53" s="261" t="n">
        <f aca="false">F24*'0.DADES'!$E$65</f>
        <v>25864.265</v>
      </c>
      <c r="G53" s="261" t="n">
        <f aca="false">G24*'0.DADES'!$E$65</f>
        <v>25864.265</v>
      </c>
      <c r="H53" s="261" t="n">
        <f aca="false">H24*'0.DADES'!$E$65</f>
        <v>25864.265</v>
      </c>
      <c r="I53" s="261" t="n">
        <f aca="false">I24*'0.DADES'!$E$65</f>
        <v>25864.265</v>
      </c>
    </row>
    <row r="54" customFormat="false" ht="13.5" hidden="false" customHeight="false" outlineLevel="0" collapsed="false">
      <c r="A54" s="257" t="str">
        <f aca="false">A25</f>
        <v>Mitsubischi</v>
      </c>
      <c r="B54" s="260" t="str">
        <f aca="false">B25</f>
        <v>Brigada Obras</v>
      </c>
      <c r="C54" s="257" t="str">
        <f aca="false">C25</f>
        <v>GASOIL</v>
      </c>
      <c r="D54" s="261" t="n">
        <f aca="false">D25*'0.DADES'!$E$65</f>
        <v>25864.265</v>
      </c>
      <c r="E54" s="261" t="n">
        <f aca="false">E25*'0.DADES'!$E$65</f>
        <v>25864.265</v>
      </c>
      <c r="F54" s="261" t="n">
        <f aca="false">F25*'0.DADES'!$E$65</f>
        <v>25864.265</v>
      </c>
      <c r="G54" s="261" t="n">
        <f aca="false">G25*'0.DADES'!$E$65</f>
        <v>25864.265</v>
      </c>
      <c r="H54" s="261" t="n">
        <f aca="false">H25*'0.DADES'!$E$65</f>
        <v>25864.265</v>
      </c>
      <c r="I54" s="261" t="n">
        <f aca="false">I25*'0.DADES'!$E$65</f>
        <v>25864.265</v>
      </c>
    </row>
    <row r="55" customFormat="false" ht="13.5" hidden="false" customHeight="false" outlineLevel="0" collapsed="false">
      <c r="A55" s="257" t="str">
        <f aca="false">A26</f>
        <v>Peugeot</v>
      </c>
      <c r="B55" s="260" t="str">
        <f aca="false">B26</f>
        <v>Brigada Obras</v>
      </c>
      <c r="C55" s="257" t="str">
        <f aca="false">C26</f>
        <v>GASOIL</v>
      </c>
      <c r="D55" s="261" t="n">
        <f aca="false">D26*'0.DADES'!$E$65</f>
        <v>25864.265</v>
      </c>
      <c r="E55" s="261" t="n">
        <f aca="false">E26*'0.DADES'!$E$65</f>
        <v>25864.265</v>
      </c>
      <c r="F55" s="261" t="n">
        <f aca="false">F26*'0.DADES'!$E$65</f>
        <v>25864.265</v>
      </c>
      <c r="G55" s="261" t="n">
        <f aca="false">G26*'0.DADES'!$E$65</f>
        <v>25864.265</v>
      </c>
      <c r="H55" s="261" t="n">
        <f aca="false">H26*'0.DADES'!$E$65</f>
        <v>25864.265</v>
      </c>
      <c r="I55" s="261" t="n">
        <f aca="false">I26*'0.DADES'!$E$65</f>
        <v>25864.265</v>
      </c>
    </row>
    <row r="56" customFormat="false" ht="13.5" hidden="false" customHeight="false" outlineLevel="0" collapsed="false">
      <c r="A56" s="257" t="str">
        <f aca="false">A27</f>
        <v>Fiat</v>
      </c>
      <c r="B56" s="260" t="str">
        <f aca="false">B27</f>
        <v>Servicios Sociales</v>
      </c>
      <c r="C56" s="257" t="str">
        <f aca="false">C27</f>
        <v>GASOIL</v>
      </c>
      <c r="D56" s="261" t="n">
        <f aca="false">D27*'0.DADES'!$E$65</f>
        <v>40643.845</v>
      </c>
      <c r="E56" s="261" t="n">
        <f aca="false">E27*'0.DADES'!$E$65</f>
        <v>40643.845</v>
      </c>
      <c r="F56" s="261" t="n">
        <f aca="false">F27*'0.DADES'!$E$65</f>
        <v>40643.845</v>
      </c>
      <c r="G56" s="261" t="n">
        <f aca="false">G27*'0.DADES'!$E$65</f>
        <v>40643.845</v>
      </c>
      <c r="H56" s="261" t="n">
        <f aca="false">H27*'0.DADES'!$E$65</f>
        <v>40643.845</v>
      </c>
      <c r="I56" s="261" t="n">
        <f aca="false">I27*'0.DADES'!$E$65</f>
        <v>40643.845</v>
      </c>
    </row>
    <row r="57" customFormat="false" ht="13.5" hidden="false" customHeight="false" outlineLevel="0" collapsed="false">
      <c r="A57" s="257" t="str">
        <f aca="false">A28</f>
        <v>Fiat</v>
      </c>
      <c r="B57" s="260" t="str">
        <f aca="false">B28</f>
        <v>Servicios Sociales</v>
      </c>
      <c r="C57" s="257" t="str">
        <f aca="false">C28</f>
        <v>GASOIL</v>
      </c>
      <c r="D57" s="261" t="n">
        <f aca="false">D28*'0.DADES'!$E$65</f>
        <v>40643.845</v>
      </c>
      <c r="E57" s="261" t="n">
        <f aca="false">E28*'0.DADES'!$E$65</f>
        <v>40643.845</v>
      </c>
      <c r="F57" s="261" t="n">
        <f aca="false">F28*'0.DADES'!$E$65</f>
        <v>40643.845</v>
      </c>
      <c r="G57" s="261" t="n">
        <f aca="false">G28*'0.DADES'!$E$65</f>
        <v>40643.845</v>
      </c>
      <c r="H57" s="261" t="n">
        <f aca="false">H28*'0.DADES'!$E$65</f>
        <v>40643.845</v>
      </c>
      <c r="I57" s="261" t="n">
        <f aca="false">I28*'0.DADES'!$E$65</f>
        <v>40643.845</v>
      </c>
    </row>
    <row r="58" customFormat="false" ht="13.5" hidden="false" customHeight="false" outlineLevel="0" collapsed="false">
      <c r="A58" s="257" t="str">
        <f aca="false">A29</f>
        <v>Fiat</v>
      </c>
      <c r="B58" s="260" t="str">
        <f aca="false">B29</f>
        <v>Servicios Sociales</v>
      </c>
      <c r="C58" s="257" t="str">
        <f aca="false">C29</f>
        <v>GASOIL</v>
      </c>
      <c r="D58" s="261" t="n">
        <f aca="false">D29*'0.DADES'!$E$65</f>
        <v>40643.845</v>
      </c>
      <c r="E58" s="261" t="n">
        <f aca="false">E29*'0.DADES'!$E$65</f>
        <v>40643.845</v>
      </c>
      <c r="F58" s="261" t="n">
        <f aca="false">F29*'0.DADES'!$E$65</f>
        <v>40643.845</v>
      </c>
      <c r="G58" s="261" t="n">
        <f aca="false">G29*'0.DADES'!$E$65</f>
        <v>40643.845</v>
      </c>
      <c r="H58" s="261" t="n">
        <f aca="false">H29*'0.DADES'!$E$65</f>
        <v>40643.845</v>
      </c>
      <c r="I58" s="261" t="n">
        <f aca="false">I29*'0.DADES'!$E$65</f>
        <v>40643.845</v>
      </c>
    </row>
    <row r="59" customFormat="false" ht="13.5" hidden="false" customHeight="false" outlineLevel="0" collapsed="false">
      <c r="A59" s="257" t="str">
        <f aca="false">A30</f>
        <v>Renault</v>
      </c>
      <c r="B59" s="260" t="str">
        <f aca="false">B30</f>
        <v>Servicios Sociales</v>
      </c>
      <c r="C59" s="257" t="str">
        <f aca="false">C30</f>
        <v>GASOIL</v>
      </c>
      <c r="D59" s="261" t="n">
        <f aca="false">D30*'0.DADES'!$E$65</f>
        <v>0</v>
      </c>
      <c r="E59" s="261" t="n">
        <f aca="false">E30*'0.DADES'!$E$65</f>
        <v>40643.845</v>
      </c>
      <c r="F59" s="261" t="n">
        <f aca="false">F30*'0.DADES'!$E$65</f>
        <v>40643.845</v>
      </c>
      <c r="G59" s="261" t="n">
        <f aca="false">G30*'0.DADES'!$E$65</f>
        <v>40643.845</v>
      </c>
      <c r="H59" s="261" t="n">
        <f aca="false">H30*'0.DADES'!$E$65</f>
        <v>40643.845</v>
      </c>
      <c r="I59" s="261" t="n">
        <f aca="false">I30*'0.DADES'!$E$65</f>
        <v>40643.845</v>
      </c>
    </row>
    <row r="60" customFormat="false" ht="13.5" hidden="false" customHeight="false" outlineLevel="0" collapsed="false">
      <c r="A60" s="257" t="str">
        <f aca="false">A31</f>
        <v>Renault Master</v>
      </c>
      <c r="B60" s="260" t="str">
        <f aca="false">B31</f>
        <v>Palau</v>
      </c>
      <c r="C60" s="257" t="str">
        <f aca="false">C31</f>
        <v>GASOIL</v>
      </c>
      <c r="D60" s="261" t="n">
        <f aca="false">D31*'0.DADES'!$E$65</f>
        <v>0</v>
      </c>
      <c r="E60" s="261" t="n">
        <f aca="false">E31*'0.DADES'!$E$65</f>
        <v>36948.95</v>
      </c>
      <c r="F60" s="261" t="n">
        <f aca="false">F31*'0.DADES'!$E$65</f>
        <v>36948.95</v>
      </c>
      <c r="G60" s="261" t="n">
        <f aca="false">G31*'0.DADES'!$E$65</f>
        <v>36948.95</v>
      </c>
      <c r="H60" s="261" t="n">
        <f aca="false">H31*'0.DADES'!$E$65</f>
        <v>36948.95</v>
      </c>
      <c r="I60" s="261" t="n">
        <f aca="false">I31*'0.DADES'!$E$65</f>
        <v>36948.95</v>
      </c>
    </row>
    <row r="61" customFormat="false" ht="13.5" hidden="false" customHeight="false" outlineLevel="0" collapsed="false">
      <c r="A61" s="257" t="str">
        <f aca="false">A32</f>
        <v>Renault Kangoo</v>
      </c>
      <c r="B61" s="260" t="str">
        <f aca="false">B32</f>
        <v>Electricistas</v>
      </c>
      <c r="C61" s="257" t="str">
        <f aca="false">C32</f>
        <v>GASOIL</v>
      </c>
      <c r="D61" s="261" t="n">
        <f aca="false">D32*'0.DADES'!$E$65</f>
        <v>25864.265</v>
      </c>
      <c r="E61" s="261" t="n">
        <f aca="false">E32*'0.DADES'!$E$65</f>
        <v>25864.265</v>
      </c>
      <c r="F61" s="261" t="n">
        <f aca="false">F32*'0.DADES'!$E$65</f>
        <v>25864.265</v>
      </c>
      <c r="G61" s="261" t="n">
        <f aca="false">G32*'0.DADES'!$E$65</f>
        <v>25864.265</v>
      </c>
      <c r="H61" s="261" t="n">
        <f aca="false">H32*'0.DADES'!$E$65</f>
        <v>25864.265</v>
      </c>
      <c r="I61" s="261" t="n">
        <f aca="false">I32*'0.DADES'!$E$65</f>
        <v>25864.265</v>
      </c>
    </row>
    <row r="62" customFormat="false" ht="13.5" hidden="false" customHeight="false" outlineLevel="0" collapsed="false">
      <c r="A62" s="257" t="str">
        <f aca="false">A33</f>
        <v>Nissan Terrano</v>
      </c>
      <c r="B62" s="260" t="str">
        <f aca="false">B33</f>
        <v>Servicios Sociales</v>
      </c>
      <c r="C62" s="257" t="str">
        <f aca="false">C33</f>
        <v>GASOIL</v>
      </c>
      <c r="D62" s="261" t="n">
        <f aca="false">D33*'0.DADES'!$E$65</f>
        <v>11084.685</v>
      </c>
      <c r="E62" s="261" t="n">
        <f aca="false">E33*'0.DADES'!$E$65</f>
        <v>11084.685</v>
      </c>
      <c r="F62" s="261" t="n">
        <f aca="false">F33*'0.DADES'!$E$65</f>
        <v>11084.685</v>
      </c>
      <c r="G62" s="261" t="n">
        <f aca="false">G33*'0.DADES'!$E$65</f>
        <v>11084.685</v>
      </c>
      <c r="H62" s="261" t="n">
        <f aca="false">H33*'0.DADES'!$E$65</f>
        <v>11084.685</v>
      </c>
      <c r="I62" s="261" t="n">
        <f aca="false">I33*'0.DADES'!$E$65</f>
        <v>11084.685</v>
      </c>
    </row>
    <row r="63" customFormat="false" ht="13.5" hidden="false" customHeight="false" outlineLevel="0" collapsed="false">
      <c r="A63" s="257" t="str">
        <f aca="false">A34</f>
        <v>Nissan Terrano</v>
      </c>
      <c r="B63" s="260" t="str">
        <f aca="false">B34</f>
        <v>Servicios Sociales</v>
      </c>
      <c r="C63" s="257" t="str">
        <f aca="false">C34</f>
        <v>GASOIL</v>
      </c>
      <c r="D63" s="261" t="n">
        <f aca="false">D34*'0.DADES'!$E$65</f>
        <v>11084.685</v>
      </c>
      <c r="E63" s="261" t="n">
        <f aca="false">E34*'0.DADES'!$E$65</f>
        <v>11084.685</v>
      </c>
      <c r="F63" s="261" t="n">
        <f aca="false">F34*'0.DADES'!$E$65</f>
        <v>11084.685</v>
      </c>
      <c r="G63" s="261" t="n">
        <f aca="false">G34*'0.DADES'!$E$65</f>
        <v>11084.685</v>
      </c>
      <c r="H63" s="261" t="n">
        <f aca="false">H34*'0.DADES'!$E$65</f>
        <v>11084.685</v>
      </c>
      <c r="I63" s="261" t="n">
        <f aca="false">I34*'0.DADES'!$E$65</f>
        <v>11084.685</v>
      </c>
    </row>
    <row r="64" customFormat="false" ht="13.5" hidden="false" customHeight="false" outlineLevel="0" collapsed="false">
      <c r="A64" s="257" t="str">
        <f aca="false">A35</f>
        <v>IVECO</v>
      </c>
      <c r="B64" s="260" t="str">
        <f aca="false">B35</f>
        <v>Palau</v>
      </c>
      <c r="C64" s="257" t="str">
        <f aca="false">C35</f>
        <v>GASOIL</v>
      </c>
      <c r="D64" s="261" t="n">
        <f aca="false">D35*'0.DADES'!$E$65</f>
        <v>0</v>
      </c>
      <c r="E64" s="261" t="n">
        <f aca="false">E35*'0.DADES'!$E$65</f>
        <v>55423.425</v>
      </c>
      <c r="F64" s="261" t="n">
        <f aca="false">F35*'0.DADES'!$E$65</f>
        <v>55423.425</v>
      </c>
      <c r="G64" s="261" t="n">
        <f aca="false">G35*'0.DADES'!$E$65</f>
        <v>55423.425</v>
      </c>
      <c r="H64" s="261" t="n">
        <f aca="false">H35*'0.DADES'!$E$65</f>
        <v>55423.425</v>
      </c>
      <c r="I64" s="261" t="n">
        <f aca="false">I35*'0.DADES'!$E$65</f>
        <v>55423.425</v>
      </c>
    </row>
    <row r="65" customFormat="false" ht="13.5" hidden="false" customHeight="false" outlineLevel="0" collapsed="false">
      <c r="A65" s="257" t="str">
        <f aca="false">A36</f>
        <v>Renault Kangoo</v>
      </c>
      <c r="B65" s="260" t="str">
        <f aca="false">B36</f>
        <v>Medio Ambiente</v>
      </c>
      <c r="C65" s="257" t="str">
        <f aca="false">C36</f>
        <v>GASOIL</v>
      </c>
      <c r="D65" s="261" t="n">
        <f aca="false">D36*'0.DADES'!$E$65</f>
        <v>55423.425</v>
      </c>
      <c r="E65" s="261" t="n">
        <f aca="false">E36*'0.DADES'!$E$65</f>
        <v>55423.425</v>
      </c>
      <c r="F65" s="261" t="n">
        <f aca="false">F36*'0.DADES'!$E$65</f>
        <v>55423.425</v>
      </c>
      <c r="G65" s="261" t="n">
        <f aca="false">G36*'0.DADES'!$E$65</f>
        <v>55423.425</v>
      </c>
      <c r="H65" s="261" t="n">
        <f aca="false">H36*'0.DADES'!$E$65</f>
        <v>55423.425</v>
      </c>
      <c r="I65" s="261" t="n">
        <f aca="false">I36*'0.DADES'!$E$65</f>
        <v>55423.425</v>
      </c>
    </row>
    <row r="66" customFormat="false" ht="13.5" hidden="false" customHeight="false" outlineLevel="0" collapsed="false">
      <c r="A66" s="257" t="str">
        <f aca="false">A37</f>
        <v>Renault Kangoo</v>
      </c>
      <c r="B66" s="260" t="str">
        <f aca="false">B37</f>
        <v>Medio Ambiente</v>
      </c>
      <c r="C66" s="257" t="str">
        <f aca="false">C37</f>
        <v>GASOIL</v>
      </c>
      <c r="D66" s="261" t="n">
        <f aca="false">D37*'0.DADES'!$E$65</f>
        <v>55423.425</v>
      </c>
      <c r="E66" s="261" t="n">
        <f aca="false">E37*'0.DADES'!$E$65</f>
        <v>55423.425</v>
      </c>
      <c r="F66" s="261" t="n">
        <f aca="false">F37*'0.DADES'!$E$65</f>
        <v>55423.425</v>
      </c>
      <c r="G66" s="261" t="n">
        <f aca="false">G37*'0.DADES'!$E$65</f>
        <v>55423.425</v>
      </c>
      <c r="H66" s="261" t="n">
        <f aca="false">H37*'0.DADES'!$E$65</f>
        <v>55423.425</v>
      </c>
      <c r="I66" s="261" t="n">
        <f aca="false">I37*'0.DADES'!$E$65</f>
        <v>55423.425</v>
      </c>
    </row>
    <row r="67" customFormat="false" ht="13.5" hidden="false" customHeight="false" outlineLevel="0" collapsed="false">
      <c r="A67" s="257" t="str">
        <f aca="false">A38</f>
        <v>Renault Expres</v>
      </c>
      <c r="B67" s="260" t="str">
        <f aca="false">B38</f>
        <v>Parques y Jardines</v>
      </c>
      <c r="C67" s="257" t="str">
        <f aca="false">C38</f>
        <v>GASOIL</v>
      </c>
      <c r="D67" s="261" t="n">
        <f aca="false">D38*'0.DADES'!$E$65</f>
        <v>55423.425</v>
      </c>
      <c r="E67" s="261" t="n">
        <f aca="false">E38*'0.DADES'!$E$65</f>
        <v>55423.425</v>
      </c>
      <c r="F67" s="261" t="n">
        <f aca="false">F38*'0.DADES'!$E$65</f>
        <v>55423.425</v>
      </c>
      <c r="G67" s="261" t="n">
        <f aca="false">G38*'0.DADES'!$E$65</f>
        <v>55423.425</v>
      </c>
      <c r="H67" s="261" t="n">
        <f aca="false">H38*'0.DADES'!$E$65</f>
        <v>55423.425</v>
      </c>
      <c r="I67" s="261" t="n">
        <f aca="false">I38*'0.DADES'!$E$65</f>
        <v>55423.425</v>
      </c>
    </row>
    <row r="68" customFormat="false" ht="13.5" hidden="false" customHeight="false" outlineLevel="0" collapsed="false">
      <c r="A68" s="257" t="str">
        <f aca="false">A39</f>
        <v>Ford Courrier</v>
      </c>
      <c r="B68" s="260" t="str">
        <f aca="false">B39</f>
        <v>Brigada Obras</v>
      </c>
      <c r="C68" s="257" t="str">
        <f aca="false">C39</f>
        <v>GASOIL</v>
      </c>
      <c r="D68" s="261" t="n">
        <f aca="false">D39*'0.DADES'!$E$65</f>
        <v>14779.58</v>
      </c>
      <c r="E68" s="261" t="n">
        <f aca="false">E39*'0.DADES'!$E$65</f>
        <v>14779.58</v>
      </c>
      <c r="F68" s="261" t="n">
        <f aca="false">F39*'0.DADES'!$E$65</f>
        <v>14779.58</v>
      </c>
      <c r="G68" s="261" t="n">
        <f aca="false">G39*'0.DADES'!$E$65</f>
        <v>14779.58</v>
      </c>
      <c r="H68" s="261" t="n">
        <f aca="false">H39*'0.DADES'!$E$65</f>
        <v>14779.58</v>
      </c>
      <c r="I68" s="261" t="n">
        <f aca="false">I39*'0.DADES'!$E$65</f>
        <v>14779.58</v>
      </c>
    </row>
    <row r="69" customFormat="false" ht="13.5" hidden="false" customHeight="false" outlineLevel="0" collapsed="false">
      <c r="A69" s="257" t="str">
        <f aca="false">A40</f>
        <v>Ford Fiesta</v>
      </c>
      <c r="B69" s="260" t="str">
        <f aca="false">B40</f>
        <v>Notificador</v>
      </c>
      <c r="C69" s="257" t="str">
        <f aca="false">C40</f>
        <v>GASOIL</v>
      </c>
      <c r="D69" s="261" t="n">
        <f aca="false">D40*'0.DADES'!$E$65</f>
        <v>22169.37</v>
      </c>
      <c r="E69" s="261" t="n">
        <f aca="false">E40*'0.DADES'!$E$65</f>
        <v>22169.37</v>
      </c>
      <c r="F69" s="261" t="n">
        <f aca="false">F40*'0.DADES'!$E$65</f>
        <v>22169.37</v>
      </c>
      <c r="G69" s="261" t="n">
        <f aca="false">G40*'0.DADES'!$E$65</f>
        <v>22169.37</v>
      </c>
      <c r="H69" s="261" t="n">
        <f aca="false">H40*'0.DADES'!$E$65</f>
        <v>22169.37</v>
      </c>
      <c r="I69" s="261" t="n">
        <f aca="false">I40*'0.DADES'!$E$65</f>
        <v>22169.37</v>
      </c>
    </row>
    <row r="70" customFormat="false" ht="13.5" hidden="false" customHeight="false" outlineLevel="0" collapsed="false">
      <c r="A70" s="257" t="str">
        <f aca="false">A41</f>
        <v>Mitsubischi</v>
      </c>
      <c r="B70" s="260" t="str">
        <f aca="false">B41</f>
        <v>Protección Civil</v>
      </c>
      <c r="C70" s="257" t="str">
        <f aca="false">C41</f>
        <v>GASOIL</v>
      </c>
      <c r="D70" s="261" t="n">
        <f aca="false">D41*'0.DADES'!$E$65</f>
        <v>11084.685</v>
      </c>
      <c r="E70" s="261" t="n">
        <f aca="false">E41*'0.DADES'!$E$65</f>
        <v>11084.685</v>
      </c>
      <c r="F70" s="261" t="n">
        <f aca="false">F41*'0.DADES'!$E$65</f>
        <v>11084.685</v>
      </c>
      <c r="G70" s="261" t="n">
        <f aca="false">G41*'0.DADES'!$E$65</f>
        <v>11084.685</v>
      </c>
      <c r="H70" s="261" t="n">
        <f aca="false">H41*'0.DADES'!$E$65</f>
        <v>11084.685</v>
      </c>
      <c r="I70" s="261" t="n">
        <f aca="false">I41*'0.DADES'!$E$65</f>
        <v>11084.685</v>
      </c>
    </row>
    <row r="71" customFormat="false" ht="13.5" hidden="false" customHeight="false" outlineLevel="0" collapsed="false">
      <c r="A71" s="257" t="str">
        <f aca="false">A42</f>
        <v>Nissan PincK-Up</v>
      </c>
      <c r="B71" s="260" t="str">
        <f aca="false">B42</f>
        <v>Protección Civil</v>
      </c>
      <c r="C71" s="257" t="str">
        <f aca="false">C42</f>
        <v>GASOIL</v>
      </c>
      <c r="D71" s="261" t="n">
        <f aca="false">D42*'0.DADES'!$E$65</f>
        <v>11084.685</v>
      </c>
      <c r="E71" s="261" t="n">
        <f aca="false">E42*'0.DADES'!$E$65</f>
        <v>11084.685</v>
      </c>
      <c r="F71" s="261" t="n">
        <f aca="false">F42*'0.DADES'!$E$65</f>
        <v>11084.685</v>
      </c>
      <c r="G71" s="261" t="n">
        <f aca="false">G42*'0.DADES'!$E$65</f>
        <v>11084.685</v>
      </c>
      <c r="H71" s="261" t="n">
        <f aca="false">H42*'0.DADES'!$E$65</f>
        <v>11084.685</v>
      </c>
      <c r="I71" s="261" t="n">
        <f aca="false">I42*'0.DADES'!$E$65</f>
        <v>11084.685</v>
      </c>
    </row>
    <row r="72" customFormat="false" ht="13.5" hidden="false" customHeight="false" outlineLevel="0" collapsed="false">
      <c r="A72" s="257" t="n">
        <f aca="false">A43</f>
        <v>0</v>
      </c>
      <c r="B72" s="260" t="n">
        <f aca="false">B43</f>
        <v>0</v>
      </c>
      <c r="C72" s="257" t="str">
        <f aca="false">C43</f>
        <v>GASOIL</v>
      </c>
      <c r="D72" s="261" t="n">
        <f aca="false">D43*'0.DADES'!$E$65</f>
        <v>0</v>
      </c>
      <c r="E72" s="261" t="n">
        <f aca="false">E43*'0.DADES'!$E$65</f>
        <v>0</v>
      </c>
      <c r="F72" s="261" t="n">
        <f aca="false">F43*'0.DADES'!$E$65</f>
        <v>0</v>
      </c>
      <c r="G72" s="261" t="n">
        <f aca="false">G43*'0.DADES'!$E$65</f>
        <v>0</v>
      </c>
      <c r="H72" s="261" t="n">
        <f aca="false">H43*'0.DADES'!$E$65</f>
        <v>0</v>
      </c>
      <c r="I72" s="261" t="n">
        <f aca="false">I43*'0.DADES'!$E$65</f>
        <v>0</v>
      </c>
    </row>
    <row r="73" customFormat="false" ht="13.5" hidden="false" customHeight="false" outlineLevel="0" collapsed="false">
      <c r="A73" s="257" t="s">
        <v>272</v>
      </c>
      <c r="B73" s="257" t="s">
        <v>86</v>
      </c>
      <c r="C73" s="257" t="s">
        <v>86</v>
      </c>
      <c r="D73" s="262" t="n">
        <f aca="false">SUM(D48:D72)</f>
        <v>583793.41</v>
      </c>
      <c r="E73" s="262" t="n">
        <f aca="false">SUM(E48:E72)</f>
        <v>757453.475</v>
      </c>
      <c r="F73" s="262" t="n">
        <f aca="false">SUM(F48:F72)</f>
        <v>757453.475</v>
      </c>
      <c r="G73" s="262" t="n">
        <f aca="false">SUM(G48:G72)</f>
        <v>757453.475</v>
      </c>
      <c r="H73" s="262" t="n">
        <f aca="false">SUM(H48:H72)</f>
        <v>757453.475</v>
      </c>
      <c r="I73" s="262" t="n">
        <f aca="false">SUM(I48:I72)</f>
        <v>794402.425</v>
      </c>
    </row>
    <row r="77" s="176" customFormat="true" ht="13.5" hidden="false" customHeight="false" outlineLevel="0" collapsed="false">
      <c r="A77" s="194" t="s">
        <v>525</v>
      </c>
      <c r="D77" s="182" t="s">
        <v>391</v>
      </c>
      <c r="E77" s="182"/>
      <c r="F77" s="182"/>
      <c r="G77" s="182"/>
      <c r="H77" s="182"/>
      <c r="I77" s="182"/>
      <c r="J77" s="182" t="s">
        <v>322</v>
      </c>
      <c r="K77" s="182"/>
      <c r="L77" s="182"/>
      <c r="M77" s="182"/>
      <c r="N77" s="182"/>
      <c r="O77" s="182"/>
      <c r="P77" s="184"/>
      <c r="Q77" s="184"/>
      <c r="R77" s="195"/>
      <c r="S77" s="184"/>
      <c r="T77" s="184"/>
      <c r="U77" s="184"/>
      <c r="V77" s="184"/>
      <c r="W77" s="184"/>
      <c r="X77" s="195"/>
      <c r="Y77" s="184"/>
      <c r="Z77" s="184"/>
      <c r="AA77" s="184"/>
      <c r="AB77" s="184"/>
      <c r="AC77" s="184"/>
      <c r="AD77" s="196"/>
      <c r="AE77" s="197"/>
      <c r="AF77" s="188"/>
      <c r="AG77" s="196"/>
      <c r="AH77" s="195"/>
      <c r="AI77" s="195"/>
    </row>
    <row r="78" s="249" customFormat="true" ht="25.5" hidden="false" customHeight="false" outlineLevel="0" collapsed="false">
      <c r="A78" s="190" t="s">
        <v>495</v>
      </c>
      <c r="B78" s="190" t="s">
        <v>496</v>
      </c>
      <c r="C78" s="190" t="s">
        <v>497</v>
      </c>
      <c r="D78" s="190" t="n">
        <f aca="false">D18</f>
        <v>2005</v>
      </c>
      <c r="E78" s="190" t="n">
        <f aca="false">E18</f>
        <v>2006</v>
      </c>
      <c r="F78" s="190" t="n">
        <f aca="false">F18</f>
        <v>2007</v>
      </c>
      <c r="G78" s="190" t="n">
        <f aca="false">G18</f>
        <v>2008</v>
      </c>
      <c r="H78" s="190" t="n">
        <f aca="false">H18</f>
        <v>2009</v>
      </c>
      <c r="I78" s="190" t="n">
        <f aca="false">I18</f>
        <v>2010</v>
      </c>
      <c r="J78" s="190" t="n">
        <f aca="false">D78</f>
        <v>2005</v>
      </c>
      <c r="K78" s="190" t="n">
        <f aca="false">E78</f>
        <v>2006</v>
      </c>
      <c r="L78" s="190" t="n">
        <f aca="false">F78</f>
        <v>2007</v>
      </c>
      <c r="M78" s="190" t="n">
        <f aca="false">G78</f>
        <v>2008</v>
      </c>
      <c r="N78" s="190" t="n">
        <f aca="false">H78</f>
        <v>2009</v>
      </c>
      <c r="O78" s="190" t="n">
        <f aca="false">I78</f>
        <v>2010</v>
      </c>
      <c r="P78" s="243"/>
      <c r="Q78" s="244"/>
      <c r="R78" s="244"/>
      <c r="S78" s="244"/>
      <c r="T78" s="244"/>
      <c r="U78" s="244"/>
      <c r="V78" s="243"/>
      <c r="W78" s="244"/>
      <c r="X78" s="244"/>
      <c r="Y78" s="244"/>
      <c r="Z78" s="244"/>
      <c r="AA78" s="244"/>
      <c r="AB78" s="245"/>
      <c r="AC78" s="246"/>
      <c r="AD78" s="247"/>
      <c r="AE78" s="245"/>
      <c r="AF78" s="248"/>
      <c r="AG78" s="248"/>
      <c r="AH78" s="248"/>
      <c r="AI78" s="248"/>
    </row>
    <row r="79" s="176" customFormat="true" ht="13.5" hidden="false" customHeight="false" outlineLevel="0" collapsed="false">
      <c r="A79" s="250" t="s">
        <v>526</v>
      </c>
      <c r="B79" s="203" t="s">
        <v>499</v>
      </c>
      <c r="C79" s="250" t="s">
        <v>525</v>
      </c>
      <c r="D79" s="204" t="n">
        <v>4745</v>
      </c>
      <c r="E79" s="204" t="n">
        <v>4745</v>
      </c>
      <c r="F79" s="204" t="n">
        <v>4745</v>
      </c>
      <c r="G79" s="204" t="n">
        <v>4745</v>
      </c>
      <c r="H79" s="204" t="n">
        <v>4745</v>
      </c>
      <c r="I79" s="204" t="n">
        <v>4745</v>
      </c>
      <c r="J79" s="204" t="n">
        <f aca="false">D79*$B$14</f>
        <v>4550.455</v>
      </c>
      <c r="K79" s="204" t="n">
        <f aca="false">E79*$C$14</f>
        <v>4858.88</v>
      </c>
      <c r="L79" s="204" t="n">
        <f aca="false">F79*$D$14</f>
        <v>4944.29</v>
      </c>
      <c r="M79" s="204" t="n">
        <f aca="false">G79*$E$14</f>
        <v>5290.675</v>
      </c>
      <c r="N79" s="204" t="n">
        <f aca="false">H79*$F$14</f>
        <v>4745</v>
      </c>
      <c r="O79" s="204" t="n">
        <f aca="false">I79*$G$14</f>
        <v>5494.71</v>
      </c>
      <c r="P79" s="232" t="n">
        <v>2006</v>
      </c>
      <c r="Q79" s="195"/>
      <c r="R79" s="195"/>
      <c r="S79" s="195"/>
      <c r="T79" s="195"/>
      <c r="U79" s="195"/>
      <c r="V79" s="232"/>
      <c r="W79" s="206"/>
      <c r="X79" s="206"/>
      <c r="Y79" s="206"/>
      <c r="Z79" s="206"/>
      <c r="AA79" s="206"/>
      <c r="AB79" s="196"/>
      <c r="AC79" s="199"/>
      <c r="AD79" s="197"/>
      <c r="AE79" s="196"/>
      <c r="AF79" s="196"/>
      <c r="AG79" s="195"/>
      <c r="AH79" s="195"/>
      <c r="AI79" s="195"/>
    </row>
    <row r="80" s="176" customFormat="true" ht="13.5" hidden="false" customHeight="false" outlineLevel="0" collapsed="false">
      <c r="A80" s="250" t="s">
        <v>526</v>
      </c>
      <c r="B80" s="203" t="s">
        <v>499</v>
      </c>
      <c r="C80" s="250" t="s">
        <v>525</v>
      </c>
      <c r="D80" s="204" t="n">
        <v>4745</v>
      </c>
      <c r="E80" s="204" t="n">
        <v>4745</v>
      </c>
      <c r="F80" s="204" t="n">
        <v>4745</v>
      </c>
      <c r="G80" s="204" t="n">
        <v>4745</v>
      </c>
      <c r="H80" s="204" t="n">
        <v>4745</v>
      </c>
      <c r="I80" s="204" t="n">
        <v>4745</v>
      </c>
      <c r="J80" s="204" t="n">
        <f aca="false">D80*$B$14</f>
        <v>4550.455</v>
      </c>
      <c r="K80" s="204" t="n">
        <f aca="false">E80*$C$14</f>
        <v>4858.88</v>
      </c>
      <c r="L80" s="204" t="n">
        <f aca="false">F80*$D$14</f>
        <v>4944.29</v>
      </c>
      <c r="M80" s="204" t="n">
        <f aca="false">G80*$E$14</f>
        <v>5290.675</v>
      </c>
      <c r="N80" s="204" t="n">
        <f aca="false">H80*$F$14</f>
        <v>4745</v>
      </c>
      <c r="O80" s="204" t="n">
        <f aca="false">I80*$G$14</f>
        <v>5494.71</v>
      </c>
      <c r="P80" s="232" t="n">
        <v>2006</v>
      </c>
      <c r="Q80" s="195"/>
      <c r="R80" s="195"/>
      <c r="S80" s="195"/>
      <c r="T80" s="195"/>
      <c r="U80" s="195"/>
      <c r="V80" s="232"/>
      <c r="W80" s="206"/>
      <c r="X80" s="206"/>
      <c r="Y80" s="206"/>
      <c r="Z80" s="206"/>
      <c r="AA80" s="206"/>
      <c r="AB80" s="196"/>
      <c r="AC80" s="199"/>
      <c r="AD80" s="197"/>
      <c r="AE80" s="196"/>
      <c r="AF80" s="196"/>
      <c r="AG80" s="195"/>
      <c r="AH80" s="195"/>
      <c r="AI80" s="195"/>
    </row>
    <row r="81" s="176" customFormat="true" ht="13.5" hidden="false" customHeight="false" outlineLevel="0" collapsed="false">
      <c r="A81" s="250" t="s">
        <v>527</v>
      </c>
      <c r="B81" s="203" t="s">
        <v>499</v>
      </c>
      <c r="C81" s="250" t="s">
        <v>525</v>
      </c>
      <c r="D81" s="204" t="n">
        <v>0</v>
      </c>
      <c r="E81" s="204" t="n">
        <v>4745</v>
      </c>
      <c r="F81" s="204" t="n">
        <v>4745</v>
      </c>
      <c r="G81" s="204" t="n">
        <v>4745</v>
      </c>
      <c r="H81" s="204" t="n">
        <v>4745</v>
      </c>
      <c r="I81" s="204" t="n">
        <v>4745</v>
      </c>
      <c r="J81" s="204" t="n">
        <f aca="false">D81*$B$14</f>
        <v>0</v>
      </c>
      <c r="K81" s="204" t="n">
        <f aca="false">E81*$C$14</f>
        <v>4858.88</v>
      </c>
      <c r="L81" s="204" t="n">
        <f aca="false">F81*$D$14</f>
        <v>4944.29</v>
      </c>
      <c r="M81" s="204" t="n">
        <f aca="false">G81*$E$14</f>
        <v>5290.675</v>
      </c>
      <c r="N81" s="204" t="n">
        <f aca="false">H81*$F$14</f>
        <v>4745</v>
      </c>
      <c r="O81" s="204" t="n">
        <f aca="false">I81*$G$14</f>
        <v>5494.71</v>
      </c>
      <c r="P81" s="232" t="n">
        <v>2006</v>
      </c>
      <c r="Q81" s="195"/>
      <c r="R81" s="195"/>
      <c r="S81" s="195"/>
      <c r="T81" s="195"/>
      <c r="U81" s="195"/>
      <c r="V81" s="232"/>
      <c r="W81" s="206"/>
      <c r="X81" s="206"/>
      <c r="Y81" s="206"/>
      <c r="Z81" s="206"/>
      <c r="AA81" s="206"/>
      <c r="AB81" s="196"/>
      <c r="AC81" s="199"/>
      <c r="AD81" s="197"/>
      <c r="AE81" s="196"/>
      <c r="AF81" s="196"/>
      <c r="AG81" s="195"/>
      <c r="AH81" s="195"/>
      <c r="AI81" s="195"/>
    </row>
    <row r="82" s="176" customFormat="true" ht="13.5" hidden="false" customHeight="false" outlineLevel="0" collapsed="false">
      <c r="A82" s="250" t="s">
        <v>528</v>
      </c>
      <c r="B82" s="203" t="s">
        <v>499</v>
      </c>
      <c r="C82" s="250" t="s">
        <v>525</v>
      </c>
      <c r="D82" s="204" t="n">
        <v>0</v>
      </c>
      <c r="E82" s="204" t="n">
        <v>4745</v>
      </c>
      <c r="F82" s="204" t="n">
        <v>4745</v>
      </c>
      <c r="G82" s="204" t="n">
        <v>4745</v>
      </c>
      <c r="H82" s="204" t="n">
        <v>4745</v>
      </c>
      <c r="I82" s="204" t="n">
        <v>4745</v>
      </c>
      <c r="J82" s="204" t="n">
        <f aca="false">D82*$B$14</f>
        <v>0</v>
      </c>
      <c r="K82" s="204" t="n">
        <f aca="false">E82*$C$14</f>
        <v>4858.88</v>
      </c>
      <c r="L82" s="204" t="n">
        <f aca="false">F82*$D$14</f>
        <v>4944.29</v>
      </c>
      <c r="M82" s="204" t="n">
        <f aca="false">G82*$E$14</f>
        <v>5290.675</v>
      </c>
      <c r="N82" s="204" t="n">
        <f aca="false">H82*$F$14</f>
        <v>4745</v>
      </c>
      <c r="O82" s="204" t="n">
        <f aca="false">I82*$G$14</f>
        <v>5494.71</v>
      </c>
      <c r="P82" s="232" t="n">
        <v>2006</v>
      </c>
      <c r="Q82" s="195"/>
      <c r="R82" s="195"/>
      <c r="S82" s="195"/>
      <c r="T82" s="195"/>
      <c r="U82" s="195"/>
      <c r="V82" s="232"/>
      <c r="W82" s="206"/>
      <c r="X82" s="206"/>
      <c r="Y82" s="206"/>
      <c r="Z82" s="206"/>
      <c r="AA82" s="206"/>
      <c r="AB82" s="196"/>
      <c r="AC82" s="199"/>
      <c r="AD82" s="197"/>
      <c r="AE82" s="196"/>
      <c r="AF82" s="196"/>
      <c r="AG82" s="195"/>
      <c r="AH82" s="195"/>
      <c r="AI82" s="195"/>
    </row>
    <row r="83" s="176" customFormat="true" ht="13.5" hidden="false" customHeight="false" outlineLevel="0" collapsed="false">
      <c r="A83" s="250" t="s">
        <v>528</v>
      </c>
      <c r="B83" s="203" t="s">
        <v>499</v>
      </c>
      <c r="C83" s="250" t="s">
        <v>525</v>
      </c>
      <c r="D83" s="204" t="n">
        <v>0</v>
      </c>
      <c r="E83" s="204" t="n">
        <v>4745</v>
      </c>
      <c r="F83" s="204" t="n">
        <v>4745</v>
      </c>
      <c r="G83" s="204" t="n">
        <v>4745</v>
      </c>
      <c r="H83" s="204" t="n">
        <v>4745</v>
      </c>
      <c r="I83" s="204" t="n">
        <v>4745</v>
      </c>
      <c r="J83" s="204" t="n">
        <f aca="false">D83*$B$14</f>
        <v>0</v>
      </c>
      <c r="K83" s="204" t="n">
        <f aca="false">E83*$C$14</f>
        <v>4858.88</v>
      </c>
      <c r="L83" s="204" t="n">
        <f aca="false">F83*$D$14</f>
        <v>4944.29</v>
      </c>
      <c r="M83" s="204" t="n">
        <f aca="false">G83*$E$14</f>
        <v>5290.675</v>
      </c>
      <c r="N83" s="204" t="n">
        <f aca="false">H83*$F$14</f>
        <v>4745</v>
      </c>
      <c r="O83" s="204" t="n">
        <f aca="false">I83*$G$14</f>
        <v>5494.71</v>
      </c>
      <c r="P83" s="232" t="n">
        <v>2006</v>
      </c>
      <c r="Q83" s="195"/>
      <c r="R83" s="195"/>
      <c r="S83" s="195"/>
      <c r="T83" s="195"/>
      <c r="U83" s="195"/>
      <c r="V83" s="232"/>
      <c r="W83" s="206"/>
      <c r="X83" s="206"/>
      <c r="Y83" s="206"/>
      <c r="Z83" s="206"/>
      <c r="AA83" s="206"/>
      <c r="AB83" s="196"/>
      <c r="AC83" s="199"/>
      <c r="AD83" s="197"/>
      <c r="AE83" s="196"/>
      <c r="AF83" s="196"/>
      <c r="AG83" s="195"/>
      <c r="AH83" s="195"/>
      <c r="AI83" s="195"/>
    </row>
    <row r="84" s="176" customFormat="true" ht="13.5" hidden="false" customHeight="false" outlineLevel="0" collapsed="false">
      <c r="A84" s="250" t="s">
        <v>527</v>
      </c>
      <c r="B84" s="203" t="s">
        <v>499</v>
      </c>
      <c r="C84" s="250" t="s">
        <v>525</v>
      </c>
      <c r="D84" s="204" t="n">
        <v>4745</v>
      </c>
      <c r="E84" s="204" t="n">
        <v>4745</v>
      </c>
      <c r="F84" s="204" t="n">
        <v>4745</v>
      </c>
      <c r="G84" s="204" t="n">
        <v>4745</v>
      </c>
      <c r="H84" s="204" t="n">
        <v>4745</v>
      </c>
      <c r="I84" s="204" t="n">
        <v>4745</v>
      </c>
      <c r="J84" s="204" t="n">
        <f aca="false">D84*$B$14</f>
        <v>4550.455</v>
      </c>
      <c r="K84" s="204" t="n">
        <f aca="false">E84*$C$14</f>
        <v>4858.88</v>
      </c>
      <c r="L84" s="204" t="n">
        <f aca="false">F84*$D$14</f>
        <v>4944.29</v>
      </c>
      <c r="M84" s="204" t="n">
        <f aca="false">G84*$E$14</f>
        <v>5290.675</v>
      </c>
      <c r="N84" s="204" t="n">
        <f aca="false">H84*$F$14</f>
        <v>4745</v>
      </c>
      <c r="O84" s="204" t="n">
        <f aca="false">I84*$G$14</f>
        <v>5494.71</v>
      </c>
      <c r="P84" s="232" t="n">
        <v>2006</v>
      </c>
      <c r="Q84" s="195"/>
      <c r="R84" s="195"/>
      <c r="S84" s="195"/>
      <c r="T84" s="195"/>
      <c r="U84" s="195"/>
      <c r="V84" s="232"/>
      <c r="W84" s="206"/>
      <c r="X84" s="206"/>
      <c r="Y84" s="206"/>
      <c r="Z84" s="206"/>
      <c r="AA84" s="206"/>
      <c r="AB84" s="196"/>
      <c r="AC84" s="199"/>
      <c r="AD84" s="197"/>
      <c r="AE84" s="196"/>
      <c r="AF84" s="196"/>
      <c r="AG84" s="195"/>
      <c r="AH84" s="195"/>
      <c r="AI84" s="195"/>
    </row>
    <row r="85" customFormat="false" ht="13.5" hidden="false" customHeight="false" outlineLevel="0" collapsed="false">
      <c r="A85" s="250" t="s">
        <v>529</v>
      </c>
      <c r="B85" s="203" t="s">
        <v>504</v>
      </c>
      <c r="C85" s="250" t="s">
        <v>525</v>
      </c>
      <c r="D85" s="204" t="n">
        <v>2555</v>
      </c>
      <c r="E85" s="204" t="n">
        <v>2555</v>
      </c>
      <c r="F85" s="204" t="n">
        <v>2555</v>
      </c>
      <c r="G85" s="204" t="n">
        <v>2555</v>
      </c>
      <c r="H85" s="204" t="n">
        <v>2555</v>
      </c>
      <c r="I85" s="204" t="n">
        <v>2555</v>
      </c>
      <c r="J85" s="204" t="n">
        <f aca="false">D85*$B$14</f>
        <v>2450.245</v>
      </c>
      <c r="K85" s="204" t="n">
        <f aca="false">E85*$C$14</f>
        <v>2616.32</v>
      </c>
      <c r="L85" s="204" t="n">
        <f aca="false">F85*$D$14</f>
        <v>2662.31</v>
      </c>
      <c r="M85" s="204" t="n">
        <f aca="false">G85*$E$14</f>
        <v>2848.825</v>
      </c>
      <c r="N85" s="204" t="n">
        <f aca="false">H85*$F$14</f>
        <v>2555</v>
      </c>
      <c r="O85" s="204" t="n">
        <f aca="false">I85*$G$14</f>
        <v>2958.69</v>
      </c>
      <c r="P85" s="232" t="n">
        <v>1999</v>
      </c>
      <c r="Q85" s="211"/>
      <c r="R85" s="211"/>
      <c r="S85" s="211"/>
      <c r="T85" s="211"/>
      <c r="U85" s="211"/>
      <c r="V85" s="232"/>
      <c r="W85" s="206"/>
      <c r="X85" s="206"/>
      <c r="Y85" s="206"/>
      <c r="Z85" s="206"/>
      <c r="AA85" s="206"/>
      <c r="AB85" s="196"/>
      <c r="AC85" s="199"/>
      <c r="AD85" s="197"/>
      <c r="AE85" s="196"/>
      <c r="AF85" s="196"/>
      <c r="AG85" s="195"/>
      <c r="AH85" s="195"/>
      <c r="AI85" s="195"/>
    </row>
    <row r="86" customFormat="false" ht="13.5" hidden="false" customHeight="false" outlineLevel="0" collapsed="false">
      <c r="A86" s="250" t="s">
        <v>517</v>
      </c>
      <c r="B86" s="203" t="s">
        <v>504</v>
      </c>
      <c r="C86" s="250" t="s">
        <v>525</v>
      </c>
      <c r="D86" s="204" t="n">
        <v>2555</v>
      </c>
      <c r="E86" s="204" t="n">
        <v>2555</v>
      </c>
      <c r="F86" s="204" t="n">
        <v>2555</v>
      </c>
      <c r="G86" s="204" t="n">
        <v>2555</v>
      </c>
      <c r="H86" s="204" t="n">
        <v>2555</v>
      </c>
      <c r="I86" s="204" t="n">
        <v>2555</v>
      </c>
      <c r="J86" s="204" t="n">
        <f aca="false">D86*$B$14</f>
        <v>2450.245</v>
      </c>
      <c r="K86" s="204" t="n">
        <f aca="false">E86*$C$14</f>
        <v>2616.32</v>
      </c>
      <c r="L86" s="204" t="n">
        <f aca="false">F86*$D$14</f>
        <v>2662.31</v>
      </c>
      <c r="M86" s="204" t="n">
        <f aca="false">G86*$E$14</f>
        <v>2848.825</v>
      </c>
      <c r="N86" s="204" t="n">
        <f aca="false">H86*$F$14</f>
        <v>2555</v>
      </c>
      <c r="O86" s="204" t="n">
        <f aca="false">I86*$G$14</f>
        <v>2958.69</v>
      </c>
      <c r="P86" s="232" t="n">
        <v>1999</v>
      </c>
      <c r="Q86" s="211"/>
      <c r="R86" s="211"/>
      <c r="S86" s="211"/>
      <c r="T86" s="211"/>
      <c r="U86" s="211"/>
      <c r="V86" s="232"/>
      <c r="W86" s="206"/>
      <c r="X86" s="206"/>
      <c r="Y86" s="206"/>
      <c r="Z86" s="206"/>
      <c r="AA86" s="206"/>
      <c r="AB86" s="196"/>
      <c r="AC86" s="199"/>
      <c r="AD86" s="197"/>
      <c r="AE86" s="196"/>
      <c r="AF86" s="196"/>
      <c r="AG86" s="195"/>
      <c r="AH86" s="195"/>
      <c r="AI86" s="195"/>
    </row>
    <row r="87" customFormat="false" ht="13.5" hidden="false" customHeight="false" outlineLevel="0" collapsed="false">
      <c r="A87" s="250" t="s">
        <v>530</v>
      </c>
      <c r="B87" s="203" t="s">
        <v>513</v>
      </c>
      <c r="C87" s="250" t="s">
        <v>525</v>
      </c>
      <c r="D87" s="204" t="n">
        <v>2555</v>
      </c>
      <c r="E87" s="204" t="n">
        <v>2555</v>
      </c>
      <c r="F87" s="204" t="n">
        <v>2555</v>
      </c>
      <c r="G87" s="204" t="n">
        <v>2555</v>
      </c>
      <c r="H87" s="204" t="n">
        <v>2555</v>
      </c>
      <c r="I87" s="204" t="n">
        <v>2555</v>
      </c>
      <c r="J87" s="204" t="n">
        <f aca="false">D87*$B$14</f>
        <v>2450.245</v>
      </c>
      <c r="K87" s="204" t="n">
        <f aca="false">E87*$C$14</f>
        <v>2616.32</v>
      </c>
      <c r="L87" s="204" t="n">
        <f aca="false">F87*$D$14</f>
        <v>2662.31</v>
      </c>
      <c r="M87" s="204" t="n">
        <f aca="false">G87*$E$14</f>
        <v>2848.825</v>
      </c>
      <c r="N87" s="204" t="n">
        <f aca="false">H87*$F$14</f>
        <v>2555</v>
      </c>
      <c r="O87" s="204" t="n">
        <f aca="false">I87*$G$14</f>
        <v>2958.69</v>
      </c>
      <c r="P87" s="232" t="n">
        <v>1999</v>
      </c>
      <c r="Q87" s="211"/>
      <c r="R87" s="211"/>
      <c r="S87" s="211"/>
      <c r="T87" s="211"/>
      <c r="U87" s="211"/>
      <c r="V87" s="232"/>
      <c r="W87" s="206"/>
      <c r="X87" s="206"/>
      <c r="Y87" s="206"/>
      <c r="Z87" s="206"/>
      <c r="AA87" s="206"/>
      <c r="AB87" s="196"/>
      <c r="AC87" s="199"/>
      <c r="AD87" s="197"/>
      <c r="AE87" s="196"/>
      <c r="AF87" s="196"/>
      <c r="AG87" s="195"/>
      <c r="AH87" s="195"/>
      <c r="AI87" s="195"/>
    </row>
    <row r="88" customFormat="false" ht="13.5" hidden="false" customHeight="false" outlineLevel="0" collapsed="false">
      <c r="A88" s="250" t="s">
        <v>515</v>
      </c>
      <c r="B88" s="203" t="s">
        <v>522</v>
      </c>
      <c r="C88" s="250" t="s">
        <v>525</v>
      </c>
      <c r="D88" s="204" t="n">
        <v>1095</v>
      </c>
      <c r="E88" s="204" t="n">
        <v>1095</v>
      </c>
      <c r="F88" s="204" t="n">
        <v>1095</v>
      </c>
      <c r="G88" s="204" t="n">
        <v>1095</v>
      </c>
      <c r="H88" s="204" t="n">
        <v>1095</v>
      </c>
      <c r="I88" s="204" t="n">
        <v>1095</v>
      </c>
      <c r="J88" s="204" t="n">
        <f aca="false">D88*$B$14</f>
        <v>1050.105</v>
      </c>
      <c r="K88" s="204" t="n">
        <f aca="false">E88*$C$14</f>
        <v>1121.28</v>
      </c>
      <c r="L88" s="204" t="n">
        <f aca="false">F88*$D$14</f>
        <v>1140.99</v>
      </c>
      <c r="M88" s="204" t="n">
        <f aca="false">G88*$E$14</f>
        <v>1220.925</v>
      </c>
      <c r="N88" s="204" t="n">
        <f aca="false">H88*$F$14</f>
        <v>1095</v>
      </c>
      <c r="O88" s="204" t="n">
        <f aca="false">I88*$G$14</f>
        <v>1268.01</v>
      </c>
      <c r="P88" s="232" t="n">
        <v>1999</v>
      </c>
      <c r="Q88" s="211"/>
      <c r="R88" s="211"/>
      <c r="S88" s="211"/>
      <c r="T88" s="211"/>
      <c r="U88" s="211"/>
      <c r="V88" s="232"/>
      <c r="W88" s="206"/>
      <c r="X88" s="206"/>
      <c r="Y88" s="206"/>
      <c r="Z88" s="206"/>
      <c r="AA88" s="206"/>
      <c r="AB88" s="196"/>
      <c r="AC88" s="199"/>
      <c r="AD88" s="197"/>
      <c r="AE88" s="196"/>
      <c r="AF88" s="196"/>
      <c r="AG88" s="195"/>
      <c r="AH88" s="195"/>
      <c r="AI88" s="195"/>
    </row>
    <row r="89" customFormat="false" ht="13.5" hidden="false" customHeight="false" outlineLevel="0" collapsed="false">
      <c r="A89" s="250"/>
      <c r="B89" s="203"/>
      <c r="C89" s="250" t="s">
        <v>525</v>
      </c>
      <c r="D89" s="204"/>
      <c r="E89" s="204"/>
      <c r="F89" s="204"/>
      <c r="G89" s="204"/>
      <c r="H89" s="204"/>
      <c r="I89" s="204"/>
      <c r="J89" s="204"/>
      <c r="K89" s="204"/>
      <c r="L89" s="204"/>
      <c r="M89" s="204"/>
      <c r="N89" s="204"/>
      <c r="O89" s="204"/>
      <c r="P89" s="232"/>
      <c r="Q89" s="211"/>
      <c r="R89" s="211"/>
      <c r="S89" s="211"/>
      <c r="T89" s="211"/>
      <c r="U89" s="211"/>
      <c r="V89" s="232"/>
      <c r="W89" s="206"/>
      <c r="X89" s="206"/>
      <c r="Y89" s="206"/>
      <c r="Z89" s="206"/>
      <c r="AA89" s="206"/>
      <c r="AB89" s="196"/>
      <c r="AC89" s="199"/>
      <c r="AD89" s="197"/>
      <c r="AE89" s="196"/>
      <c r="AF89" s="196"/>
      <c r="AG89" s="195"/>
      <c r="AH89" s="195"/>
      <c r="AI89" s="195"/>
    </row>
    <row r="90" customFormat="false" ht="13.5" hidden="false" customHeight="false" outlineLevel="0" collapsed="false">
      <c r="A90" s="250"/>
      <c r="B90" s="203"/>
      <c r="C90" s="250" t="s">
        <v>525</v>
      </c>
      <c r="D90" s="204"/>
      <c r="E90" s="204"/>
      <c r="F90" s="204"/>
      <c r="G90" s="204"/>
      <c r="H90" s="204"/>
      <c r="I90" s="204"/>
      <c r="J90" s="204"/>
      <c r="K90" s="204"/>
      <c r="L90" s="204"/>
      <c r="M90" s="204"/>
      <c r="N90" s="204"/>
      <c r="O90" s="204"/>
      <c r="P90" s="232"/>
      <c r="Q90" s="211"/>
      <c r="R90" s="211"/>
      <c r="S90" s="211"/>
      <c r="T90" s="211"/>
      <c r="U90" s="211"/>
      <c r="V90" s="232"/>
      <c r="W90" s="206"/>
      <c r="X90" s="206"/>
      <c r="Y90" s="206"/>
      <c r="Z90" s="206"/>
      <c r="AA90" s="206"/>
      <c r="AB90" s="196"/>
      <c r="AC90" s="199"/>
      <c r="AD90" s="197"/>
      <c r="AE90" s="196"/>
      <c r="AF90" s="196"/>
      <c r="AG90" s="195"/>
      <c r="AH90" s="195"/>
      <c r="AI90" s="195"/>
    </row>
    <row r="91" customFormat="false" ht="13.5" hidden="false" customHeight="false" outlineLevel="0" collapsed="false">
      <c r="A91" s="250"/>
      <c r="B91" s="203"/>
      <c r="C91" s="250" t="s">
        <v>525</v>
      </c>
      <c r="D91" s="204"/>
      <c r="E91" s="204"/>
      <c r="F91" s="204"/>
      <c r="G91" s="204"/>
      <c r="H91" s="204"/>
      <c r="I91" s="204"/>
      <c r="J91" s="204"/>
      <c r="K91" s="204"/>
      <c r="L91" s="204"/>
      <c r="M91" s="204"/>
      <c r="N91" s="204"/>
      <c r="O91" s="204"/>
    </row>
    <row r="92" customFormat="false" ht="13.5" hidden="false" customHeight="false" outlineLevel="0" collapsed="false">
      <c r="A92" s="257" t="s">
        <v>272</v>
      </c>
      <c r="B92" s="257"/>
      <c r="C92" s="257"/>
      <c r="D92" s="262" t="n">
        <f aca="false">SUM(D79:D91)</f>
        <v>22995</v>
      </c>
      <c r="E92" s="262" t="n">
        <f aca="false">SUM(E79:E91)</f>
        <v>37230</v>
      </c>
      <c r="F92" s="262" t="n">
        <f aca="false">SUM(F79:F91)</f>
        <v>37230</v>
      </c>
      <c r="G92" s="262" t="n">
        <f aca="false">SUM(G79:G91)</f>
        <v>37230</v>
      </c>
      <c r="H92" s="262" t="n">
        <f aca="false">SUM(H79:H91)</f>
        <v>37230</v>
      </c>
      <c r="I92" s="262" t="n">
        <f aca="false">SUM(I79:I91)</f>
        <v>37230</v>
      </c>
      <c r="J92" s="204" t="n">
        <f aca="false">SUM(J79:J91)</f>
        <v>22052.205</v>
      </c>
      <c r="K92" s="204" t="n">
        <f aca="false">SUM(K79:K91)</f>
        <v>38123.52</v>
      </c>
      <c r="L92" s="204" t="n">
        <f aca="false">SUM(L79:L91)</f>
        <v>38793.66</v>
      </c>
      <c r="M92" s="204" t="n">
        <f aca="false">SUM(M79:M91)</f>
        <v>41511.45</v>
      </c>
      <c r="N92" s="204" t="n">
        <f aca="false">SUM(N79:N91)</f>
        <v>37230</v>
      </c>
      <c r="O92" s="204" t="n">
        <f aca="false">SUM(O79:O91)</f>
        <v>43112.34</v>
      </c>
    </row>
    <row r="94" customFormat="false" ht="13.5" hidden="false" customHeight="false" outlineLevel="0" collapsed="false">
      <c r="A94" s="194"/>
      <c r="B94" s="176"/>
      <c r="C94" s="176"/>
      <c r="D94" s="182" t="s">
        <v>524</v>
      </c>
      <c r="E94" s="182"/>
      <c r="F94" s="182"/>
      <c r="G94" s="182"/>
      <c r="H94" s="182"/>
      <c r="I94" s="182"/>
    </row>
    <row r="95" customFormat="false" ht="25.5" hidden="false" customHeight="false" outlineLevel="0" collapsed="false">
      <c r="A95" s="190" t="s">
        <v>495</v>
      </c>
      <c r="B95" s="190" t="s">
        <v>496</v>
      </c>
      <c r="C95" s="190" t="s">
        <v>497</v>
      </c>
      <c r="D95" s="190" t="n">
        <f aca="false">D78</f>
        <v>2005</v>
      </c>
      <c r="E95" s="190" t="n">
        <f aca="false">E78</f>
        <v>2006</v>
      </c>
      <c r="F95" s="190" t="n">
        <f aca="false">F78</f>
        <v>2007</v>
      </c>
      <c r="G95" s="190" t="n">
        <f aca="false">G78</f>
        <v>2008</v>
      </c>
      <c r="H95" s="190" t="n">
        <f aca="false">H78</f>
        <v>2009</v>
      </c>
      <c r="I95" s="190" t="n">
        <f aca="false">I78</f>
        <v>2010</v>
      </c>
    </row>
    <row r="96" customFormat="false" ht="13.5" hidden="false" customHeight="false" outlineLevel="0" collapsed="false">
      <c r="A96" s="257" t="str">
        <f aca="false">A79</f>
        <v>Motocicleta Honda FES 150</v>
      </c>
      <c r="B96" s="257" t="str">
        <f aca="false">B79</f>
        <v>Policía Local</v>
      </c>
      <c r="C96" s="257" t="str">
        <f aca="false">C79</f>
        <v>GASOLINA</v>
      </c>
      <c r="D96" s="261" t="n">
        <f aca="false">D79*'0.DADES'!$E$68</f>
        <v>44228.145</v>
      </c>
      <c r="E96" s="261" t="n">
        <f aca="false">E79*'0.DADES'!$E$68</f>
        <v>44228.145</v>
      </c>
      <c r="F96" s="261" t="n">
        <f aca="false">F79*'0.DADES'!$E$68</f>
        <v>44228.145</v>
      </c>
      <c r="G96" s="261" t="n">
        <f aca="false">G79*'0.DADES'!$E$68</f>
        <v>44228.145</v>
      </c>
      <c r="H96" s="261" t="n">
        <f aca="false">H79*'0.DADES'!$E$68</f>
        <v>44228.145</v>
      </c>
      <c r="I96" s="261" t="n">
        <f aca="false">I79*'0.DADES'!$E$68</f>
        <v>44228.145</v>
      </c>
    </row>
    <row r="97" customFormat="false" ht="13.5" hidden="false" customHeight="false" outlineLevel="0" collapsed="false">
      <c r="A97" s="257" t="str">
        <f aca="false">A80</f>
        <v>Motocicleta Honda FES 150</v>
      </c>
      <c r="B97" s="257" t="str">
        <f aca="false">B80</f>
        <v>Policía Local</v>
      </c>
      <c r="C97" s="257" t="str">
        <f aca="false">C80</f>
        <v>GASOLINA</v>
      </c>
      <c r="D97" s="261" t="n">
        <f aca="false">D80*'0.DADES'!$E$68</f>
        <v>44228.145</v>
      </c>
      <c r="E97" s="261" t="n">
        <f aca="false">E80*'0.DADES'!$E$68</f>
        <v>44228.145</v>
      </c>
      <c r="F97" s="261" t="n">
        <f aca="false">F80*'0.DADES'!$E$68</f>
        <v>44228.145</v>
      </c>
      <c r="G97" s="261" t="n">
        <f aca="false">G80*'0.DADES'!$E$68</f>
        <v>44228.145</v>
      </c>
      <c r="H97" s="261" t="n">
        <f aca="false">H80*'0.DADES'!$E$68</f>
        <v>44228.145</v>
      </c>
      <c r="I97" s="261" t="n">
        <f aca="false">I80*'0.DADES'!$E$68</f>
        <v>44228.145</v>
      </c>
    </row>
    <row r="98" customFormat="false" ht="13.5" hidden="false" customHeight="false" outlineLevel="0" collapsed="false">
      <c r="A98" s="257" t="str">
        <f aca="false">A81</f>
        <v>Motocicleta Honda RD11</v>
      </c>
      <c r="B98" s="257" t="str">
        <f aca="false">B81</f>
        <v>Policía Local</v>
      </c>
      <c r="C98" s="257" t="str">
        <f aca="false">C85</f>
        <v>GASOLINA</v>
      </c>
      <c r="D98" s="261" t="n">
        <f aca="false">D81*'0.DADES'!$E$68</f>
        <v>0</v>
      </c>
      <c r="E98" s="261" t="n">
        <f aca="false">E81*'0.DADES'!$E$68</f>
        <v>44228.145</v>
      </c>
      <c r="F98" s="261" t="n">
        <f aca="false">F81*'0.DADES'!$E$68</f>
        <v>44228.145</v>
      </c>
      <c r="G98" s="261" t="n">
        <f aca="false">G81*'0.DADES'!$E$68</f>
        <v>44228.145</v>
      </c>
      <c r="H98" s="261" t="n">
        <f aca="false">H81*'0.DADES'!$E$68</f>
        <v>44228.145</v>
      </c>
      <c r="I98" s="261" t="n">
        <f aca="false">I81*'0.DADES'!$E$68</f>
        <v>44228.145</v>
      </c>
    </row>
    <row r="99" customFormat="false" ht="13.5" hidden="false" customHeight="false" outlineLevel="0" collapsed="false">
      <c r="A99" s="257" t="str">
        <f aca="false">A82</f>
        <v>Motocicleta Honda RC52</v>
      </c>
      <c r="B99" s="257" t="str">
        <f aca="false">B82</f>
        <v>Policía Local</v>
      </c>
      <c r="C99" s="257" t="str">
        <f aca="false">C86</f>
        <v>GASOLINA</v>
      </c>
      <c r="D99" s="261" t="n">
        <f aca="false">D82*'0.DADES'!$E$68</f>
        <v>0</v>
      </c>
      <c r="E99" s="261" t="n">
        <f aca="false">E82*'0.DADES'!$E$68</f>
        <v>44228.145</v>
      </c>
      <c r="F99" s="261" t="n">
        <f aca="false">F82*'0.DADES'!$E$68</f>
        <v>44228.145</v>
      </c>
      <c r="G99" s="261" t="n">
        <f aca="false">G82*'0.DADES'!$E$68</f>
        <v>44228.145</v>
      </c>
      <c r="H99" s="261" t="n">
        <f aca="false">H82*'0.DADES'!$E$68</f>
        <v>44228.145</v>
      </c>
      <c r="I99" s="261" t="n">
        <f aca="false">I82*'0.DADES'!$E$68</f>
        <v>44228.145</v>
      </c>
    </row>
    <row r="100" customFormat="false" ht="13.5" hidden="false" customHeight="false" outlineLevel="0" collapsed="false">
      <c r="A100" s="257" t="str">
        <f aca="false">A83</f>
        <v>Motocicleta Honda RC52</v>
      </c>
      <c r="B100" s="257" t="str">
        <f aca="false">B83</f>
        <v>Policía Local</v>
      </c>
      <c r="C100" s="257" t="str">
        <f aca="false">C87</f>
        <v>GASOLINA</v>
      </c>
      <c r="D100" s="261" t="n">
        <f aca="false">D83*'0.DADES'!$E$68</f>
        <v>0</v>
      </c>
      <c r="E100" s="261" t="n">
        <f aca="false">E83*'0.DADES'!$E$68</f>
        <v>44228.145</v>
      </c>
      <c r="F100" s="261" t="n">
        <f aca="false">F83*'0.DADES'!$E$68</f>
        <v>44228.145</v>
      </c>
      <c r="G100" s="261" t="n">
        <f aca="false">G83*'0.DADES'!$E$68</f>
        <v>44228.145</v>
      </c>
      <c r="H100" s="261" t="n">
        <f aca="false">H83*'0.DADES'!$E$68</f>
        <v>44228.145</v>
      </c>
      <c r="I100" s="261" t="n">
        <f aca="false">I83*'0.DADES'!$E$68</f>
        <v>44228.145</v>
      </c>
    </row>
    <row r="101" customFormat="false" ht="13.5" hidden="false" customHeight="false" outlineLevel="0" collapsed="false">
      <c r="A101" s="257" t="str">
        <f aca="false">A84</f>
        <v>Motocicleta Honda RD11</v>
      </c>
      <c r="B101" s="257" t="str">
        <f aca="false">B84</f>
        <v>Policía Local</v>
      </c>
      <c r="C101" s="257" t="str">
        <f aca="false">C88</f>
        <v>GASOLINA</v>
      </c>
      <c r="D101" s="261" t="n">
        <f aca="false">D84*'0.DADES'!$E$68</f>
        <v>44228.145</v>
      </c>
      <c r="E101" s="261" t="n">
        <f aca="false">E84*'0.DADES'!$E$68</f>
        <v>44228.145</v>
      </c>
      <c r="F101" s="261" t="n">
        <f aca="false">F84*'0.DADES'!$E$68</f>
        <v>44228.145</v>
      </c>
      <c r="G101" s="261" t="n">
        <f aca="false">G84*'0.DADES'!$E$68</f>
        <v>44228.145</v>
      </c>
      <c r="H101" s="261" t="n">
        <f aca="false">H84*'0.DADES'!$E$68</f>
        <v>44228.145</v>
      </c>
      <c r="I101" s="261" t="n">
        <f aca="false">I84*'0.DADES'!$E$68</f>
        <v>44228.145</v>
      </c>
    </row>
    <row r="102" customFormat="false" ht="13.5" hidden="false" customHeight="false" outlineLevel="0" collapsed="false">
      <c r="A102" s="257" t="str">
        <f aca="false">A85</f>
        <v>Suzuki</v>
      </c>
      <c r="B102" s="257" t="str">
        <f aca="false">B85</f>
        <v>Brigada Obras</v>
      </c>
      <c r="C102" s="257" t="str">
        <f aca="false">C89</f>
        <v>GASOLINA</v>
      </c>
      <c r="D102" s="261" t="n">
        <f aca="false">D85*'0.DADES'!$E$68</f>
        <v>23815.155</v>
      </c>
      <c r="E102" s="261" t="n">
        <f aca="false">E85*'0.DADES'!$E$68</f>
        <v>23815.155</v>
      </c>
      <c r="F102" s="261" t="n">
        <f aca="false">F85*'0.DADES'!$E$68</f>
        <v>23815.155</v>
      </c>
      <c r="G102" s="261" t="n">
        <f aca="false">G85*'0.DADES'!$E$68</f>
        <v>23815.155</v>
      </c>
      <c r="H102" s="261" t="n">
        <f aca="false">H85*'0.DADES'!$E$68</f>
        <v>23815.155</v>
      </c>
      <c r="I102" s="261" t="n">
        <f aca="false">I85*'0.DADES'!$E$68</f>
        <v>23815.155</v>
      </c>
    </row>
    <row r="103" customFormat="false" ht="13.5" hidden="false" customHeight="false" outlineLevel="0" collapsed="false">
      <c r="A103" s="257" t="str">
        <f aca="false">A86</f>
        <v>Renault Expres</v>
      </c>
      <c r="B103" s="257" t="str">
        <f aca="false">B86</f>
        <v>Brigada Obras</v>
      </c>
      <c r="C103" s="257" t="str">
        <f aca="false">C89</f>
        <v>GASOLINA</v>
      </c>
      <c r="D103" s="261" t="n">
        <f aca="false">D86*'0.DADES'!$E$68</f>
        <v>23815.155</v>
      </c>
      <c r="E103" s="261" t="n">
        <f aca="false">E86*'0.DADES'!$E$68</f>
        <v>23815.155</v>
      </c>
      <c r="F103" s="261" t="n">
        <f aca="false">F86*'0.DADES'!$E$68</f>
        <v>23815.155</v>
      </c>
      <c r="G103" s="261" t="n">
        <f aca="false">G86*'0.DADES'!$E$68</f>
        <v>23815.155</v>
      </c>
      <c r="H103" s="261" t="n">
        <f aca="false">H86*'0.DADES'!$E$68</f>
        <v>23815.155</v>
      </c>
      <c r="I103" s="261" t="n">
        <f aca="false">I86*'0.DADES'!$E$68</f>
        <v>23815.155</v>
      </c>
    </row>
    <row r="104" customFormat="false" ht="13.5" hidden="false" customHeight="false" outlineLevel="0" collapsed="false">
      <c r="A104" s="257" t="str">
        <f aca="false">A87</f>
        <v>Citroën  Jumper camión</v>
      </c>
      <c r="B104" s="257" t="str">
        <f aca="false">B87</f>
        <v>Electricistas</v>
      </c>
      <c r="C104" s="257" t="str">
        <f aca="false">C87</f>
        <v>GASOLINA</v>
      </c>
      <c r="D104" s="261" t="n">
        <f aca="false">D87*'0.DADES'!$E$68</f>
        <v>23815.155</v>
      </c>
      <c r="E104" s="261" t="n">
        <f aca="false">E87*'0.DADES'!$E$68</f>
        <v>23815.155</v>
      </c>
      <c r="F104" s="261" t="n">
        <f aca="false">F87*'0.DADES'!$E$68</f>
        <v>23815.155</v>
      </c>
      <c r="G104" s="261" t="n">
        <f aca="false">G87*'0.DADES'!$E$68</f>
        <v>23815.155</v>
      </c>
      <c r="H104" s="261" t="n">
        <f aca="false">H87*'0.DADES'!$E$68</f>
        <v>23815.155</v>
      </c>
      <c r="I104" s="261" t="n">
        <f aca="false">I87*'0.DADES'!$E$68</f>
        <v>23815.155</v>
      </c>
    </row>
    <row r="105" customFormat="false" ht="13.5" hidden="false" customHeight="false" outlineLevel="0" collapsed="false">
      <c r="A105" s="257" t="str">
        <f aca="false">A88</f>
        <v>IVECO</v>
      </c>
      <c r="B105" s="257" t="str">
        <f aca="false">B88</f>
        <v>Protección Civil</v>
      </c>
      <c r="C105" s="257" t="str">
        <f aca="false">C88</f>
        <v>GASOLINA</v>
      </c>
      <c r="D105" s="261" t="n">
        <f aca="false">D88*'0.DADES'!$E$68</f>
        <v>10206.495</v>
      </c>
      <c r="E105" s="261" t="n">
        <f aca="false">E88*'0.DADES'!$E$68</f>
        <v>10206.495</v>
      </c>
      <c r="F105" s="261" t="n">
        <f aca="false">F88*'0.DADES'!$E$68</f>
        <v>10206.495</v>
      </c>
      <c r="G105" s="261" t="n">
        <f aca="false">G88*'0.DADES'!$E$68</f>
        <v>10206.495</v>
      </c>
      <c r="H105" s="261" t="n">
        <f aca="false">H88*'0.DADES'!$E$68</f>
        <v>10206.495</v>
      </c>
      <c r="I105" s="261" t="n">
        <f aca="false">I88*'0.DADES'!$E$68</f>
        <v>10206.495</v>
      </c>
    </row>
    <row r="106" customFormat="false" ht="13.5" hidden="false" customHeight="false" outlineLevel="0" collapsed="false">
      <c r="A106" s="257" t="n">
        <f aca="false">A89</f>
        <v>0</v>
      </c>
      <c r="B106" s="257" t="n">
        <f aca="false">B89</f>
        <v>0</v>
      </c>
      <c r="C106" s="257" t="str">
        <f aca="false">C89</f>
        <v>GASOLINA</v>
      </c>
      <c r="D106" s="261" t="n">
        <f aca="false">D89*'0.DADES'!$E$68</f>
        <v>0</v>
      </c>
      <c r="E106" s="261" t="n">
        <f aca="false">E89*'0.DADES'!$E$68</f>
        <v>0</v>
      </c>
      <c r="F106" s="261" t="n">
        <f aca="false">F89*'0.DADES'!$E$68</f>
        <v>0</v>
      </c>
      <c r="G106" s="261" t="n">
        <f aca="false">G89*'0.DADES'!$E$68</f>
        <v>0</v>
      </c>
      <c r="H106" s="261" t="n">
        <f aca="false">H89*'0.DADES'!$E$68</f>
        <v>0</v>
      </c>
      <c r="I106" s="261" t="n">
        <f aca="false">I89*'0.DADES'!$E$68</f>
        <v>0</v>
      </c>
    </row>
    <row r="107" customFormat="false" ht="13.5" hidden="false" customHeight="false" outlineLevel="0" collapsed="false">
      <c r="A107" s="257" t="n">
        <f aca="false">A90</f>
        <v>0</v>
      </c>
      <c r="B107" s="257" t="n">
        <f aca="false">B90</f>
        <v>0</v>
      </c>
      <c r="C107" s="257" t="str">
        <f aca="false">C90</f>
        <v>GASOLINA</v>
      </c>
      <c r="D107" s="261" t="n">
        <f aca="false">D90*'0.DADES'!$E$68</f>
        <v>0</v>
      </c>
      <c r="E107" s="261" t="n">
        <f aca="false">E90*'0.DADES'!$E$68</f>
        <v>0</v>
      </c>
      <c r="F107" s="261" t="n">
        <f aca="false">F90*'0.DADES'!$E$68</f>
        <v>0</v>
      </c>
      <c r="G107" s="261" t="n">
        <f aca="false">G90*'0.DADES'!$E$68</f>
        <v>0</v>
      </c>
      <c r="H107" s="261" t="n">
        <f aca="false">H90*'0.DADES'!$E$68</f>
        <v>0</v>
      </c>
      <c r="I107" s="261" t="n">
        <f aca="false">I90*'0.DADES'!$E$68</f>
        <v>0</v>
      </c>
    </row>
    <row r="108" customFormat="false" ht="13.5" hidden="false" customHeight="false" outlineLevel="0" collapsed="false">
      <c r="A108" s="257" t="n">
        <f aca="false">A91</f>
        <v>0</v>
      </c>
      <c r="B108" s="257" t="n">
        <f aca="false">B91</f>
        <v>0</v>
      </c>
      <c r="C108" s="257" t="str">
        <f aca="false">C91</f>
        <v>GASOLINA</v>
      </c>
      <c r="D108" s="261" t="n">
        <f aca="false">D91*'0.DADES'!$E$68</f>
        <v>0</v>
      </c>
      <c r="E108" s="261" t="n">
        <f aca="false">E91*'0.DADES'!$E$68</f>
        <v>0</v>
      </c>
      <c r="F108" s="261" t="n">
        <f aca="false">F91*'0.DADES'!$E$68</f>
        <v>0</v>
      </c>
      <c r="G108" s="261" t="n">
        <f aca="false">G91*'0.DADES'!$E$68</f>
        <v>0</v>
      </c>
      <c r="H108" s="261" t="n">
        <f aca="false">H91*'0.DADES'!$E$68</f>
        <v>0</v>
      </c>
      <c r="I108" s="261" t="n">
        <f aca="false">I91*'0.DADES'!$E$68</f>
        <v>0</v>
      </c>
    </row>
    <row r="109" customFormat="false" ht="13.5" hidden="false" customHeight="false" outlineLevel="0" collapsed="false">
      <c r="A109" s="257" t="s">
        <v>272</v>
      </c>
      <c r="B109" s="257" t="s">
        <v>86</v>
      </c>
      <c r="C109" s="257" t="s">
        <v>86</v>
      </c>
      <c r="D109" s="263" t="n">
        <f aca="false">SUM(D96:D108)</f>
        <v>214336.395</v>
      </c>
      <c r="E109" s="263" t="n">
        <f aca="false">SUM(E96:E108)</f>
        <v>347020.83</v>
      </c>
      <c r="F109" s="263" t="n">
        <f aca="false">SUM(F96:F108)</f>
        <v>347020.83</v>
      </c>
      <c r="G109" s="263" t="n">
        <f aca="false">SUM(G96:G108)</f>
        <v>347020.83</v>
      </c>
      <c r="H109" s="263" t="n">
        <f aca="false">SUM(H96:H108)</f>
        <v>347020.83</v>
      </c>
      <c r="I109" s="263" t="n">
        <f aca="false">SUM(I96:I108)</f>
        <v>347020.83</v>
      </c>
    </row>
    <row r="113" customFormat="false" ht="13.5" hidden="false" customHeight="false" outlineLevel="0" collapsed="false">
      <c r="H113" s="176" t="s">
        <v>398</v>
      </c>
      <c r="I113" s="176" t="n">
        <v>2005</v>
      </c>
      <c r="J113" s="176" t="n">
        <v>2006</v>
      </c>
      <c r="K113" s="176" t="n">
        <v>2007</v>
      </c>
      <c r="L113" s="176" t="n">
        <v>2008</v>
      </c>
      <c r="M113" s="176" t="n">
        <v>2009</v>
      </c>
      <c r="N113" s="176" t="n">
        <v>2010</v>
      </c>
    </row>
    <row r="114" customFormat="false" ht="13.5" hidden="false" customHeight="false" outlineLevel="0" collapsed="false">
      <c r="H114" s="176" t="s">
        <v>253</v>
      </c>
      <c r="I114" s="176" t="n">
        <v>0.8438</v>
      </c>
      <c r="J114" s="176" t="n">
        <v>0.9084</v>
      </c>
      <c r="K114" s="176" t="n">
        <v>0.8211</v>
      </c>
      <c r="L114" s="176" t="n">
        <v>0.8272</v>
      </c>
      <c r="M114" s="176" t="n">
        <v>0.8481</v>
      </c>
      <c r="N114" s="176" t="n">
        <v>0.8481</v>
      </c>
    </row>
    <row r="115" customFormat="false" ht="13.5" hidden="false" customHeight="false" outlineLevel="0" collapsed="false">
      <c r="H115" s="176" t="s">
        <v>51</v>
      </c>
      <c r="I115" s="176" t="n">
        <v>0.202</v>
      </c>
      <c r="J115" s="176" t="n">
        <v>0.202</v>
      </c>
      <c r="K115" s="176" t="n">
        <v>0.202</v>
      </c>
      <c r="L115" s="176" t="n">
        <v>0.202</v>
      </c>
      <c r="M115" s="176" t="n">
        <v>0.202</v>
      </c>
      <c r="N115" s="176" t="n">
        <v>0.202</v>
      </c>
    </row>
    <row r="116" customFormat="false" ht="13.5" hidden="false" customHeight="false" outlineLevel="0" collapsed="false">
      <c r="H116" s="176" t="s">
        <v>53</v>
      </c>
      <c r="I116" s="176" t="n">
        <v>0.227</v>
      </c>
      <c r="J116" s="176" t="n">
        <v>0.227</v>
      </c>
      <c r="K116" s="176" t="n">
        <v>0.227</v>
      </c>
      <c r="L116" s="176" t="n">
        <v>0.227</v>
      </c>
      <c r="M116" s="176" t="n">
        <v>0.227</v>
      </c>
      <c r="N116" s="176" t="n">
        <v>0.227</v>
      </c>
    </row>
    <row r="117" customFormat="false" ht="13.5" hidden="false" customHeight="false" outlineLevel="0" collapsed="false">
      <c r="H117" s="176" t="s">
        <v>117</v>
      </c>
      <c r="I117" s="176" t="n">
        <v>0.267</v>
      </c>
      <c r="J117" s="176" t="n">
        <v>0.267</v>
      </c>
      <c r="K117" s="176" t="n">
        <v>0.267</v>
      </c>
      <c r="L117" s="176" t="n">
        <v>0.267</v>
      </c>
      <c r="M117" s="176" t="n">
        <v>0.267</v>
      </c>
      <c r="N117" s="176" t="n">
        <v>0.267</v>
      </c>
    </row>
    <row r="118" customFormat="false" ht="13.5" hidden="false" customHeight="false" outlineLevel="0" collapsed="false">
      <c r="H118" s="176" t="s">
        <v>118</v>
      </c>
      <c r="I118" s="176" t="n">
        <v>0.249</v>
      </c>
      <c r="J118" s="176" t="n">
        <v>0.249</v>
      </c>
      <c r="K118" s="176" t="n">
        <v>0.249</v>
      </c>
      <c r="L118" s="176" t="n">
        <v>0.249</v>
      </c>
      <c r="M118" s="176" t="n">
        <v>0.249</v>
      </c>
      <c r="N118" s="176" t="n">
        <v>0.249</v>
      </c>
    </row>
    <row r="119" customFormat="false" ht="13.5" hidden="false" customHeight="false" outlineLevel="0" collapsed="false">
      <c r="H119" s="176" t="s">
        <v>119</v>
      </c>
      <c r="I119" s="176" t="n">
        <v>0.279</v>
      </c>
      <c r="J119" s="176" t="n">
        <v>0.279</v>
      </c>
      <c r="K119" s="176" t="n">
        <v>0.279</v>
      </c>
      <c r="L119" s="176" t="n">
        <v>0.279</v>
      </c>
      <c r="M119" s="176" t="n">
        <v>0.279</v>
      </c>
      <c r="N119" s="176" t="n">
        <v>0.279</v>
      </c>
    </row>
    <row r="124" customFormat="false" ht="25.5" hidden="false" customHeight="true" outlineLevel="0" collapsed="false">
      <c r="A124" s="264"/>
      <c r="B124" s="264"/>
      <c r="C124" s="265"/>
      <c r="D124" s="266" t="s">
        <v>531</v>
      </c>
      <c r="E124" s="266"/>
      <c r="F124" s="266"/>
      <c r="G124" s="266"/>
      <c r="H124" s="266"/>
      <c r="I124" s="266"/>
    </row>
    <row r="125" customFormat="false" ht="25.5" hidden="false" customHeight="false" outlineLevel="0" collapsed="false">
      <c r="A125" s="267" t="str">
        <f aca="false">A95</f>
        <v>MARCA I MODEL VEHICLE</v>
      </c>
      <c r="B125" s="267" t="str">
        <f aca="false">B95</f>
        <v>DEPARTAMENT</v>
      </c>
      <c r="C125" s="267" t="str">
        <f aca="false">C95</f>
        <v>TIPUS COMBUSTIBLE</v>
      </c>
      <c r="D125" s="190" t="n">
        <f aca="false">D95</f>
        <v>2005</v>
      </c>
      <c r="E125" s="190" t="n">
        <f aca="false">E95</f>
        <v>2006</v>
      </c>
      <c r="F125" s="190" t="n">
        <f aca="false">F95</f>
        <v>2007</v>
      </c>
      <c r="G125" s="190" t="n">
        <f aca="false">G95</f>
        <v>2008</v>
      </c>
      <c r="H125" s="190" t="n">
        <f aca="false">H95</f>
        <v>2009</v>
      </c>
      <c r="I125" s="190" t="n">
        <f aca="false">I95</f>
        <v>2010</v>
      </c>
    </row>
    <row r="126" customFormat="false" ht="13.5" hidden="false" customHeight="false" outlineLevel="0" collapsed="false">
      <c r="A126" s="257" t="str">
        <f aca="false">A96</f>
        <v>Motocicleta Honda FES 150</v>
      </c>
      <c r="B126" s="257" t="str">
        <f aca="false">B96</f>
        <v>Policía Local</v>
      </c>
      <c r="C126" s="257" t="str">
        <f aca="false">C96</f>
        <v>GASOLINA</v>
      </c>
      <c r="D126" s="261" t="n">
        <f aca="false">D96*$I$118/1000</f>
        <v>11.012808105</v>
      </c>
      <c r="E126" s="261" t="n">
        <f aca="false">E96*$J$118/1000</f>
        <v>11.012808105</v>
      </c>
      <c r="F126" s="261" t="n">
        <f aca="false">F96*$K$118/1000</f>
        <v>11.012808105</v>
      </c>
      <c r="G126" s="261" t="n">
        <f aca="false">G96*$L$118/1000</f>
        <v>11.012808105</v>
      </c>
      <c r="H126" s="261" t="n">
        <f aca="false">H96*$M$118/1000</f>
        <v>11.012808105</v>
      </c>
      <c r="I126" s="261" t="n">
        <f aca="false">I96*$N$118/1000</f>
        <v>11.012808105</v>
      </c>
    </row>
    <row r="127" customFormat="false" ht="13.5" hidden="false" customHeight="false" outlineLevel="0" collapsed="false">
      <c r="A127" s="257" t="str">
        <f aca="false">A97</f>
        <v>Motocicleta Honda FES 150</v>
      </c>
      <c r="B127" s="257" t="str">
        <f aca="false">B97</f>
        <v>Policía Local</v>
      </c>
      <c r="C127" s="257" t="str">
        <f aca="false">C97</f>
        <v>GASOLINA</v>
      </c>
      <c r="D127" s="261" t="n">
        <f aca="false">D97*$I$118/1000</f>
        <v>11.012808105</v>
      </c>
      <c r="E127" s="261" t="n">
        <f aca="false">E97*$J$118/1000</f>
        <v>11.012808105</v>
      </c>
      <c r="F127" s="261" t="n">
        <f aca="false">F97*$K$118/1000</f>
        <v>11.012808105</v>
      </c>
      <c r="G127" s="261" t="n">
        <f aca="false">G97*$L$118/1000</f>
        <v>11.012808105</v>
      </c>
      <c r="H127" s="261" t="n">
        <f aca="false">H97*$M$118/1000</f>
        <v>11.012808105</v>
      </c>
      <c r="I127" s="261" t="n">
        <f aca="false">I97*$N$118/1000</f>
        <v>11.012808105</v>
      </c>
    </row>
    <row r="128" customFormat="false" ht="13.5" hidden="false" customHeight="false" outlineLevel="0" collapsed="false">
      <c r="A128" s="257" t="str">
        <f aca="false">A98</f>
        <v>Motocicleta Honda RD11</v>
      </c>
      <c r="B128" s="257" t="str">
        <f aca="false">B98</f>
        <v>Policía Local</v>
      </c>
      <c r="C128" s="257" t="str">
        <f aca="false">C98</f>
        <v>GASOLINA</v>
      </c>
      <c r="D128" s="261" t="n">
        <f aca="false">D98*$I$118/1000</f>
        <v>0</v>
      </c>
      <c r="E128" s="261" t="n">
        <f aca="false">E98*$J$118/1000</f>
        <v>11.012808105</v>
      </c>
      <c r="F128" s="261" t="n">
        <f aca="false">F98*$K$118/1000</f>
        <v>11.012808105</v>
      </c>
      <c r="G128" s="261" t="n">
        <f aca="false">G98*$L$118/1000</f>
        <v>11.012808105</v>
      </c>
      <c r="H128" s="261" t="n">
        <f aca="false">H98*$M$118/1000</f>
        <v>11.012808105</v>
      </c>
      <c r="I128" s="261" t="n">
        <f aca="false">I98*$N$118/1000</f>
        <v>11.012808105</v>
      </c>
    </row>
    <row r="129" customFormat="false" ht="13.5" hidden="false" customHeight="false" outlineLevel="0" collapsed="false">
      <c r="A129" s="257" t="str">
        <f aca="false">A99</f>
        <v>Motocicleta Honda RC52</v>
      </c>
      <c r="B129" s="257" t="str">
        <f aca="false">B99</f>
        <v>Policía Local</v>
      </c>
      <c r="C129" s="257" t="str">
        <f aca="false">C99</f>
        <v>GASOLINA</v>
      </c>
      <c r="D129" s="261" t="n">
        <f aca="false">D99*$I$118/1000</f>
        <v>0</v>
      </c>
      <c r="E129" s="261" t="n">
        <f aca="false">E99*$J$118/1000</f>
        <v>11.012808105</v>
      </c>
      <c r="F129" s="261" t="n">
        <f aca="false">F99*$K$118/1000</f>
        <v>11.012808105</v>
      </c>
      <c r="G129" s="261" t="n">
        <f aca="false">G99*$L$118/1000</f>
        <v>11.012808105</v>
      </c>
      <c r="H129" s="261" t="n">
        <f aca="false">H99*$M$118/1000</f>
        <v>11.012808105</v>
      </c>
      <c r="I129" s="261" t="n">
        <f aca="false">I99*$N$118/1000</f>
        <v>11.012808105</v>
      </c>
    </row>
    <row r="130" customFormat="false" ht="13.5" hidden="false" customHeight="false" outlineLevel="0" collapsed="false">
      <c r="A130" s="257" t="str">
        <f aca="false">A100</f>
        <v>Motocicleta Honda RC52</v>
      </c>
      <c r="B130" s="257" t="str">
        <f aca="false">B100</f>
        <v>Policía Local</v>
      </c>
      <c r="C130" s="257" t="str">
        <f aca="false">C100</f>
        <v>GASOLINA</v>
      </c>
      <c r="D130" s="261" t="n">
        <f aca="false">D100*$I$118/1000</f>
        <v>0</v>
      </c>
      <c r="E130" s="261" t="n">
        <f aca="false">E100*$J$118/1000</f>
        <v>11.012808105</v>
      </c>
      <c r="F130" s="261" t="n">
        <f aca="false">F100*$K$118/1000</f>
        <v>11.012808105</v>
      </c>
      <c r="G130" s="261" t="n">
        <f aca="false">G100*$L$118/1000</f>
        <v>11.012808105</v>
      </c>
      <c r="H130" s="261" t="n">
        <f aca="false">H100*$M$118/1000</f>
        <v>11.012808105</v>
      </c>
      <c r="I130" s="261" t="n">
        <f aca="false">I100*$N$118/1000</f>
        <v>11.012808105</v>
      </c>
    </row>
    <row r="131" customFormat="false" ht="13.5" hidden="false" customHeight="false" outlineLevel="0" collapsed="false">
      <c r="A131" s="257" t="str">
        <f aca="false">A101</f>
        <v>Motocicleta Honda RD11</v>
      </c>
      <c r="B131" s="257" t="str">
        <f aca="false">B101</f>
        <v>Policía Local</v>
      </c>
      <c r="C131" s="257" t="str">
        <f aca="false">C101</f>
        <v>GASOLINA</v>
      </c>
      <c r="D131" s="261" t="n">
        <f aca="false">D101*$I$118/1000</f>
        <v>11.012808105</v>
      </c>
      <c r="E131" s="261" t="n">
        <f aca="false">E101*$J$118/1000</f>
        <v>11.012808105</v>
      </c>
      <c r="F131" s="261" t="n">
        <f aca="false">F101*$K$118/1000</f>
        <v>11.012808105</v>
      </c>
      <c r="G131" s="261" t="n">
        <f aca="false">G101*$L$118/1000</f>
        <v>11.012808105</v>
      </c>
      <c r="H131" s="261" t="n">
        <f aca="false">H101*$M$118/1000</f>
        <v>11.012808105</v>
      </c>
      <c r="I131" s="261" t="n">
        <f aca="false">I101*$N$118/1000</f>
        <v>11.012808105</v>
      </c>
    </row>
    <row r="132" customFormat="false" ht="13.5" hidden="false" customHeight="false" outlineLevel="0" collapsed="false">
      <c r="A132" s="257" t="str">
        <f aca="false">A102</f>
        <v>Suzuki</v>
      </c>
      <c r="B132" s="257" t="str">
        <f aca="false">B102</f>
        <v>Brigada Obras</v>
      </c>
      <c r="C132" s="257" t="str">
        <f aca="false">C102</f>
        <v>GASOLINA</v>
      </c>
      <c r="D132" s="261" t="n">
        <f aca="false">D102*$I$118/1000</f>
        <v>5.929973595</v>
      </c>
      <c r="E132" s="261" t="n">
        <f aca="false">E102*$J$118/1000</f>
        <v>5.929973595</v>
      </c>
      <c r="F132" s="261" t="n">
        <f aca="false">F102*$K$118/1000</f>
        <v>5.929973595</v>
      </c>
      <c r="G132" s="261" t="n">
        <f aca="false">G102*$L$118/1000</f>
        <v>5.929973595</v>
      </c>
      <c r="H132" s="261" t="n">
        <f aca="false">H102*$M$118/1000</f>
        <v>5.929973595</v>
      </c>
      <c r="I132" s="261" t="n">
        <f aca="false">I102*$N$118/1000</f>
        <v>5.929973595</v>
      </c>
    </row>
    <row r="133" customFormat="false" ht="13.5" hidden="false" customHeight="false" outlineLevel="0" collapsed="false">
      <c r="A133" s="257" t="str">
        <f aca="false">A103</f>
        <v>Renault Expres</v>
      </c>
      <c r="B133" s="257" t="str">
        <f aca="false">B103</f>
        <v>Brigada Obras</v>
      </c>
      <c r="C133" s="257" t="str">
        <f aca="false">C103</f>
        <v>GASOLINA</v>
      </c>
      <c r="D133" s="261" t="n">
        <f aca="false">D103*$I$118/1000</f>
        <v>5.929973595</v>
      </c>
      <c r="E133" s="261" t="n">
        <f aca="false">E103*$J$118/1000</f>
        <v>5.929973595</v>
      </c>
      <c r="F133" s="261" t="n">
        <f aca="false">F103*$K$118/1000</f>
        <v>5.929973595</v>
      </c>
      <c r="G133" s="261" t="n">
        <f aca="false">G103*$L$118/1000</f>
        <v>5.929973595</v>
      </c>
      <c r="H133" s="261" t="n">
        <f aca="false">H103*$M$118/1000</f>
        <v>5.929973595</v>
      </c>
      <c r="I133" s="261" t="n">
        <f aca="false">I103*$N$118/1000</f>
        <v>5.929973595</v>
      </c>
    </row>
    <row r="134" customFormat="false" ht="13.5" hidden="false" customHeight="false" outlineLevel="0" collapsed="false">
      <c r="A134" s="257" t="str">
        <f aca="false">A104</f>
        <v>Citroën  Jumper camión</v>
      </c>
      <c r="B134" s="257" t="str">
        <f aca="false">B104</f>
        <v>Electricistas</v>
      </c>
      <c r="C134" s="257" t="str">
        <f aca="false">C104</f>
        <v>GASOLINA</v>
      </c>
      <c r="D134" s="261" t="n">
        <f aca="false">D104*$I$118/1000</f>
        <v>5.929973595</v>
      </c>
      <c r="E134" s="261" t="n">
        <f aca="false">E104*$J$118/1000</f>
        <v>5.929973595</v>
      </c>
      <c r="F134" s="261" t="n">
        <f aca="false">F104*$K$118/1000</f>
        <v>5.929973595</v>
      </c>
      <c r="G134" s="261" t="n">
        <f aca="false">G104*$L$118/1000</f>
        <v>5.929973595</v>
      </c>
      <c r="H134" s="261" t="n">
        <f aca="false">H104*$M$118/1000</f>
        <v>5.929973595</v>
      </c>
      <c r="I134" s="261" t="n">
        <f aca="false">I104*$N$118/1000</f>
        <v>5.929973595</v>
      </c>
    </row>
    <row r="135" customFormat="false" ht="13.5" hidden="false" customHeight="false" outlineLevel="0" collapsed="false">
      <c r="A135" s="257" t="str">
        <f aca="false">A105</f>
        <v>IVECO</v>
      </c>
      <c r="B135" s="257" t="str">
        <f aca="false">B105</f>
        <v>Protección Civil</v>
      </c>
      <c r="C135" s="257" t="str">
        <f aca="false">C105</f>
        <v>GASOLINA</v>
      </c>
      <c r="D135" s="261" t="n">
        <f aca="false">D105*$I$118/1000</f>
        <v>2.541417255</v>
      </c>
      <c r="E135" s="261" t="n">
        <f aca="false">E105*$J$118/1000</f>
        <v>2.541417255</v>
      </c>
      <c r="F135" s="261" t="n">
        <f aca="false">F105*$K$118/1000</f>
        <v>2.541417255</v>
      </c>
      <c r="G135" s="261" t="n">
        <f aca="false">G105*$L$118/1000</f>
        <v>2.541417255</v>
      </c>
      <c r="H135" s="261" t="n">
        <f aca="false">H105*$M$118/1000</f>
        <v>2.541417255</v>
      </c>
      <c r="I135" s="261" t="n">
        <f aca="false">I105*$N$118/1000</f>
        <v>2.541417255</v>
      </c>
    </row>
    <row r="136" customFormat="false" ht="13.5" hidden="false" customHeight="false" outlineLevel="0" collapsed="false">
      <c r="A136" s="257" t="n">
        <f aca="false">A106</f>
        <v>0</v>
      </c>
      <c r="B136" s="257" t="n">
        <f aca="false">B106</f>
        <v>0</v>
      </c>
      <c r="C136" s="257" t="str">
        <f aca="false">C106</f>
        <v>GASOLINA</v>
      </c>
      <c r="D136" s="261" t="n">
        <f aca="false">D106*$I$118/1000</f>
        <v>0</v>
      </c>
      <c r="E136" s="261" t="n">
        <f aca="false">E106*$J$118/1000</f>
        <v>0</v>
      </c>
      <c r="F136" s="261" t="n">
        <f aca="false">F106*$K$118/1000</f>
        <v>0</v>
      </c>
      <c r="G136" s="261" t="n">
        <f aca="false">G106*$L$118/1000</f>
        <v>0</v>
      </c>
      <c r="H136" s="261" t="n">
        <f aca="false">H106*$M$118/1000</f>
        <v>0</v>
      </c>
      <c r="I136" s="261" t="n">
        <f aca="false">I106*$N$118/1000</f>
        <v>0</v>
      </c>
    </row>
    <row r="137" customFormat="false" ht="13.5" hidden="false" customHeight="false" outlineLevel="0" collapsed="false">
      <c r="A137" s="257" t="n">
        <f aca="false">A107</f>
        <v>0</v>
      </c>
      <c r="B137" s="257" t="n">
        <f aca="false">B107</f>
        <v>0</v>
      </c>
      <c r="C137" s="257" t="str">
        <f aca="false">C107</f>
        <v>GASOLINA</v>
      </c>
      <c r="D137" s="261" t="n">
        <f aca="false">D107*$I$118/1000</f>
        <v>0</v>
      </c>
      <c r="E137" s="261" t="n">
        <f aca="false">E107*$J$118/1000</f>
        <v>0</v>
      </c>
      <c r="F137" s="261" t="n">
        <f aca="false">F107*$K$118/1000</f>
        <v>0</v>
      </c>
      <c r="G137" s="261" t="n">
        <f aca="false">G107*$L$118/1000</f>
        <v>0</v>
      </c>
      <c r="H137" s="261" t="n">
        <f aca="false">H107*$M$118/1000</f>
        <v>0</v>
      </c>
      <c r="I137" s="261" t="n">
        <f aca="false">I107*$N$118/1000</f>
        <v>0</v>
      </c>
    </row>
    <row r="138" customFormat="false" ht="13.5" hidden="false" customHeight="false" outlineLevel="0" collapsed="false">
      <c r="A138" s="257" t="n">
        <f aca="false">A108</f>
        <v>0</v>
      </c>
      <c r="B138" s="257" t="n">
        <f aca="false">B108</f>
        <v>0</v>
      </c>
      <c r="C138" s="257" t="str">
        <f aca="false">C108</f>
        <v>GASOLINA</v>
      </c>
      <c r="D138" s="261" t="n">
        <f aca="false">D108*$I$118/1000</f>
        <v>0</v>
      </c>
      <c r="E138" s="261" t="n">
        <f aca="false">E108*$J$118/1000</f>
        <v>0</v>
      </c>
      <c r="F138" s="261" t="n">
        <f aca="false">F108*$K$118/1000</f>
        <v>0</v>
      </c>
      <c r="G138" s="261" t="n">
        <f aca="false">G108*$L$118/1000</f>
        <v>0</v>
      </c>
      <c r="H138" s="261" t="n">
        <f aca="false">H108*$M$118/1000</f>
        <v>0</v>
      </c>
      <c r="I138" s="261" t="n">
        <f aca="false">I108*$N$118/1000</f>
        <v>0</v>
      </c>
    </row>
    <row r="139" customFormat="false" ht="13.5" hidden="false" customHeight="false" outlineLevel="0" collapsed="false">
      <c r="A139" s="257" t="str">
        <f aca="false">A48</f>
        <v>Citroën Xsara Picasso</v>
      </c>
      <c r="B139" s="257" t="str">
        <f aca="false">B48</f>
        <v>Policía Local</v>
      </c>
      <c r="C139" s="257" t="str">
        <f aca="false">C48</f>
        <v>GASOIL</v>
      </c>
      <c r="D139" s="261" t="n">
        <f aca="false">D48*$I$117/1000</f>
        <v>9.86536965</v>
      </c>
      <c r="E139" s="261" t="n">
        <f aca="false">E48*$I$117/1000</f>
        <v>9.86536965</v>
      </c>
      <c r="F139" s="261" t="n">
        <f aca="false">F48*$I$117/1000</f>
        <v>9.86536965</v>
      </c>
      <c r="G139" s="261" t="n">
        <f aca="false">G48*$I$117/1000</f>
        <v>9.86536965</v>
      </c>
      <c r="H139" s="261" t="n">
        <f aca="false">H48*$I$117/1000</f>
        <v>9.86536965</v>
      </c>
      <c r="I139" s="261" t="n">
        <f aca="false">I48*$I$117/1000</f>
        <v>9.86536965</v>
      </c>
    </row>
    <row r="140" customFormat="false" ht="13.5" hidden="false" customHeight="false" outlineLevel="0" collapsed="false">
      <c r="A140" s="257" t="str">
        <f aca="false">A49</f>
        <v>Peugeot 306</v>
      </c>
      <c r="B140" s="257" t="str">
        <f aca="false">B49</f>
        <v>Policía Local</v>
      </c>
      <c r="C140" s="257" t="str">
        <f aca="false">C49</f>
        <v>GASOIL</v>
      </c>
      <c r="D140" s="261" t="n">
        <f aca="false">D49*$I$117/1000</f>
        <v>9.86536965</v>
      </c>
      <c r="E140" s="261" t="n">
        <f aca="false">E49*$I$117/1000</f>
        <v>9.86536965</v>
      </c>
      <c r="F140" s="261" t="n">
        <f aca="false">F49*$I$117/1000</f>
        <v>9.86536965</v>
      </c>
      <c r="G140" s="261" t="n">
        <f aca="false">G49*$I$117/1000</f>
        <v>9.86536965</v>
      </c>
      <c r="H140" s="261" t="n">
        <f aca="false">H49*$I$117/1000</f>
        <v>9.86536965</v>
      </c>
      <c r="I140" s="261" t="n">
        <f aca="false">I49*$I$117/1000</f>
        <v>9.86536965</v>
      </c>
    </row>
    <row r="141" customFormat="false" ht="13.5" hidden="false" customHeight="false" outlineLevel="0" collapsed="false">
      <c r="A141" s="257" t="str">
        <f aca="false">A50</f>
        <v>Peugeot 307</v>
      </c>
      <c r="B141" s="257" t="str">
        <f aca="false">B50</f>
        <v>Policía Local</v>
      </c>
      <c r="C141" s="257" t="str">
        <f aca="false">C50</f>
        <v>GASOIL</v>
      </c>
      <c r="D141" s="261" t="n">
        <f aca="false">D50*$I$117/1000</f>
        <v>9.86536965</v>
      </c>
      <c r="E141" s="261" t="n">
        <f aca="false">E50*$I$117/1000</f>
        <v>9.86536965</v>
      </c>
      <c r="F141" s="261" t="n">
        <f aca="false">F50*$I$117/1000</f>
        <v>9.86536965</v>
      </c>
      <c r="G141" s="261" t="n">
        <f aca="false">G50*$I$117/1000</f>
        <v>9.86536965</v>
      </c>
      <c r="H141" s="261" t="n">
        <f aca="false">H50*$I$117/1000</f>
        <v>9.86536965</v>
      </c>
      <c r="I141" s="261" t="n">
        <f aca="false">I50*$I$117/1000</f>
        <v>9.86536965</v>
      </c>
    </row>
    <row r="142" customFormat="false" ht="13.5" hidden="false" customHeight="false" outlineLevel="0" collapsed="false">
      <c r="A142" s="257" t="str">
        <f aca="false">A51</f>
        <v>Renault Megane</v>
      </c>
      <c r="B142" s="257" t="str">
        <f aca="false">B51</f>
        <v>Policía Local</v>
      </c>
      <c r="C142" s="257" t="str">
        <f aca="false">C51</f>
        <v>GASOIL</v>
      </c>
      <c r="D142" s="261" t="n">
        <f aca="false">D51*$I$117/1000</f>
        <v>0</v>
      </c>
      <c r="E142" s="261" t="n">
        <f aca="false">E51*$I$117/1000</f>
        <v>0</v>
      </c>
      <c r="F142" s="261" t="n">
        <f aca="false">F51*$I$117/1000</f>
        <v>0</v>
      </c>
      <c r="G142" s="261" t="n">
        <f aca="false">G51*$I$117/1000</f>
        <v>0</v>
      </c>
      <c r="H142" s="261" t="n">
        <f aca="false">H51*$I$117/1000</f>
        <v>0</v>
      </c>
      <c r="I142" s="261" t="n">
        <f aca="false">I51*$I$117/1000</f>
        <v>9.86536965</v>
      </c>
    </row>
    <row r="143" customFormat="false" ht="13.5" hidden="false" customHeight="false" outlineLevel="0" collapsed="false">
      <c r="A143" s="257" t="str">
        <f aca="false">A52</f>
        <v>Ford Transit</v>
      </c>
      <c r="B143" s="257" t="str">
        <f aca="false">B52</f>
        <v>Brigada Obras</v>
      </c>
      <c r="C143" s="257" t="str">
        <f aca="false">C52</f>
        <v>GASOIL</v>
      </c>
      <c r="D143" s="261" t="n">
        <f aca="false">D52*$I$117/1000</f>
        <v>0</v>
      </c>
      <c r="E143" s="261" t="n">
        <f aca="false">E52*$I$117/1000</f>
        <v>10.851906615</v>
      </c>
      <c r="F143" s="261" t="n">
        <f aca="false">F52*$I$117/1000</f>
        <v>10.851906615</v>
      </c>
      <c r="G143" s="261" t="n">
        <f aca="false">G52*$I$117/1000</f>
        <v>10.851906615</v>
      </c>
      <c r="H143" s="261" t="n">
        <f aca="false">H52*$I$117/1000</f>
        <v>10.851906615</v>
      </c>
      <c r="I143" s="261" t="n">
        <f aca="false">I52*$I$117/1000</f>
        <v>10.851906615</v>
      </c>
    </row>
    <row r="144" customFormat="false" ht="13.5" hidden="false" customHeight="false" outlineLevel="0" collapsed="false">
      <c r="A144" s="257" t="str">
        <f aca="false">A53</f>
        <v>Peugeot</v>
      </c>
      <c r="B144" s="257" t="str">
        <f aca="false">B53</f>
        <v>Brigada Obras</v>
      </c>
      <c r="C144" s="257" t="str">
        <f aca="false">C53</f>
        <v>GASOIL</v>
      </c>
      <c r="D144" s="261" t="n">
        <f aca="false">D53*$I$117/1000</f>
        <v>6.905758755</v>
      </c>
      <c r="E144" s="261" t="n">
        <f aca="false">E53*$I$117/1000</f>
        <v>6.905758755</v>
      </c>
      <c r="F144" s="261" t="n">
        <f aca="false">F53*$I$117/1000</f>
        <v>6.905758755</v>
      </c>
      <c r="G144" s="261" t="n">
        <f aca="false">G53*$I$117/1000</f>
        <v>6.905758755</v>
      </c>
      <c r="H144" s="261" t="n">
        <f aca="false">H53*$I$117/1000</f>
        <v>6.905758755</v>
      </c>
      <c r="I144" s="261" t="n">
        <f aca="false">I53*$I$117/1000</f>
        <v>6.905758755</v>
      </c>
    </row>
    <row r="145" customFormat="false" ht="13.5" hidden="false" customHeight="false" outlineLevel="0" collapsed="false">
      <c r="A145" s="257" t="str">
        <f aca="false">A54</f>
        <v>Mitsubischi</v>
      </c>
      <c r="B145" s="257" t="str">
        <f aca="false">B54</f>
        <v>Brigada Obras</v>
      </c>
      <c r="C145" s="257" t="str">
        <f aca="false">C54</f>
        <v>GASOIL</v>
      </c>
      <c r="D145" s="261" t="n">
        <f aca="false">D54*$I$117/1000</f>
        <v>6.905758755</v>
      </c>
      <c r="E145" s="261" t="n">
        <f aca="false">E54*$I$117/1000</f>
        <v>6.905758755</v>
      </c>
      <c r="F145" s="261" t="n">
        <f aca="false">F54*$I$117/1000</f>
        <v>6.905758755</v>
      </c>
      <c r="G145" s="261" t="n">
        <f aca="false">G54*$I$117/1000</f>
        <v>6.905758755</v>
      </c>
      <c r="H145" s="261" t="n">
        <f aca="false">H54*$I$117/1000</f>
        <v>6.905758755</v>
      </c>
      <c r="I145" s="261" t="n">
        <f aca="false">I54*$I$117/1000</f>
        <v>6.905758755</v>
      </c>
    </row>
    <row r="146" customFormat="false" ht="13.5" hidden="false" customHeight="false" outlineLevel="0" collapsed="false">
      <c r="A146" s="257" t="str">
        <f aca="false">A55</f>
        <v>Peugeot</v>
      </c>
      <c r="B146" s="257" t="str">
        <f aca="false">B55</f>
        <v>Brigada Obras</v>
      </c>
      <c r="C146" s="257" t="str">
        <f aca="false">C55</f>
        <v>GASOIL</v>
      </c>
      <c r="D146" s="261" t="n">
        <f aca="false">D55*$I$117/1000</f>
        <v>6.905758755</v>
      </c>
      <c r="E146" s="261" t="n">
        <f aca="false">E55*$I$117/1000</f>
        <v>6.905758755</v>
      </c>
      <c r="F146" s="261" t="n">
        <f aca="false">F55*$I$117/1000</f>
        <v>6.905758755</v>
      </c>
      <c r="G146" s="261" t="n">
        <f aca="false">G55*$I$117/1000</f>
        <v>6.905758755</v>
      </c>
      <c r="H146" s="261" t="n">
        <f aca="false">H55*$I$117/1000</f>
        <v>6.905758755</v>
      </c>
      <c r="I146" s="261" t="n">
        <f aca="false">I55*$I$117/1000</f>
        <v>6.905758755</v>
      </c>
    </row>
    <row r="147" customFormat="false" ht="13.5" hidden="false" customHeight="false" outlineLevel="0" collapsed="false">
      <c r="A147" s="257" t="str">
        <f aca="false">A56</f>
        <v>Fiat</v>
      </c>
      <c r="B147" s="257" t="str">
        <f aca="false">B56</f>
        <v>Servicios Sociales</v>
      </c>
      <c r="C147" s="257" t="str">
        <f aca="false">C56</f>
        <v>GASOIL</v>
      </c>
      <c r="D147" s="261" t="n">
        <f aca="false">D56*$I$117/1000</f>
        <v>10.851906615</v>
      </c>
      <c r="E147" s="261" t="n">
        <f aca="false">E56*$I$117/1000</f>
        <v>10.851906615</v>
      </c>
      <c r="F147" s="261" t="n">
        <f aca="false">F56*$I$117/1000</f>
        <v>10.851906615</v>
      </c>
      <c r="G147" s="261" t="n">
        <f aca="false">G56*$I$117/1000</f>
        <v>10.851906615</v>
      </c>
      <c r="H147" s="261" t="n">
        <f aca="false">H56*$I$117/1000</f>
        <v>10.851906615</v>
      </c>
      <c r="I147" s="261" t="n">
        <f aca="false">I56*$I$117/1000</f>
        <v>10.851906615</v>
      </c>
    </row>
    <row r="148" customFormat="false" ht="13.5" hidden="false" customHeight="false" outlineLevel="0" collapsed="false">
      <c r="A148" s="257" t="str">
        <f aca="false">A57</f>
        <v>Fiat</v>
      </c>
      <c r="B148" s="257" t="str">
        <f aca="false">B57</f>
        <v>Servicios Sociales</v>
      </c>
      <c r="C148" s="257" t="str">
        <f aca="false">C57</f>
        <v>GASOIL</v>
      </c>
      <c r="D148" s="261" t="n">
        <f aca="false">D57*$I$117/1000</f>
        <v>10.851906615</v>
      </c>
      <c r="E148" s="261" t="n">
        <f aca="false">E57*$I$117/1000</f>
        <v>10.851906615</v>
      </c>
      <c r="F148" s="261" t="n">
        <f aca="false">F57*$I$117/1000</f>
        <v>10.851906615</v>
      </c>
      <c r="G148" s="261" t="n">
        <f aca="false">G57*$I$117/1000</f>
        <v>10.851906615</v>
      </c>
      <c r="H148" s="261" t="n">
        <f aca="false">H57*$I$117/1000</f>
        <v>10.851906615</v>
      </c>
      <c r="I148" s="261" t="n">
        <f aca="false">I57*$I$117/1000</f>
        <v>10.851906615</v>
      </c>
    </row>
    <row r="149" customFormat="false" ht="13.5" hidden="false" customHeight="false" outlineLevel="0" collapsed="false">
      <c r="A149" s="257" t="str">
        <f aca="false">A58</f>
        <v>Fiat</v>
      </c>
      <c r="B149" s="257" t="str">
        <f aca="false">B58</f>
        <v>Servicios Sociales</v>
      </c>
      <c r="C149" s="257" t="str">
        <f aca="false">C58</f>
        <v>GASOIL</v>
      </c>
      <c r="D149" s="261" t="n">
        <f aca="false">D58*$I$117/1000</f>
        <v>10.851906615</v>
      </c>
      <c r="E149" s="261" t="n">
        <f aca="false">E58*$I$117/1000</f>
        <v>10.851906615</v>
      </c>
      <c r="F149" s="261" t="n">
        <f aca="false">F58*$I$117/1000</f>
        <v>10.851906615</v>
      </c>
      <c r="G149" s="261" t="n">
        <f aca="false">G58*$I$117/1000</f>
        <v>10.851906615</v>
      </c>
      <c r="H149" s="261" t="n">
        <f aca="false">H58*$I$117/1000</f>
        <v>10.851906615</v>
      </c>
      <c r="I149" s="261" t="n">
        <f aca="false">I58*$I$117/1000</f>
        <v>10.851906615</v>
      </c>
    </row>
    <row r="150" customFormat="false" ht="13.5" hidden="false" customHeight="false" outlineLevel="0" collapsed="false">
      <c r="A150" s="257" t="str">
        <f aca="false">A59</f>
        <v>Renault</v>
      </c>
      <c r="B150" s="257" t="str">
        <f aca="false">B59</f>
        <v>Servicios Sociales</v>
      </c>
      <c r="C150" s="257" t="str">
        <f aca="false">C59</f>
        <v>GASOIL</v>
      </c>
      <c r="D150" s="261" t="n">
        <f aca="false">D59*$I$117/1000</f>
        <v>0</v>
      </c>
      <c r="E150" s="261" t="n">
        <f aca="false">E59*$I$117/1000</f>
        <v>10.851906615</v>
      </c>
      <c r="F150" s="261" t="n">
        <f aca="false">F59*$I$117/1000</f>
        <v>10.851906615</v>
      </c>
      <c r="G150" s="261" t="n">
        <f aca="false">G59*$I$117/1000</f>
        <v>10.851906615</v>
      </c>
      <c r="H150" s="261" t="n">
        <f aca="false">H59*$I$117/1000</f>
        <v>10.851906615</v>
      </c>
      <c r="I150" s="261" t="n">
        <f aca="false">I59*$I$117/1000</f>
        <v>10.851906615</v>
      </c>
    </row>
    <row r="151" customFormat="false" ht="13.5" hidden="false" customHeight="false" outlineLevel="0" collapsed="false">
      <c r="A151" s="257" t="str">
        <f aca="false">A60</f>
        <v>Renault Master</v>
      </c>
      <c r="B151" s="257" t="str">
        <f aca="false">B60</f>
        <v>Palau</v>
      </c>
      <c r="C151" s="257" t="str">
        <f aca="false">C60</f>
        <v>GASOIL</v>
      </c>
      <c r="D151" s="261" t="n">
        <f aca="false">D60*$I$117/1000</f>
        <v>0</v>
      </c>
      <c r="E151" s="261" t="n">
        <f aca="false">E60*$I$117/1000</f>
        <v>9.86536965</v>
      </c>
      <c r="F151" s="261" t="n">
        <f aca="false">F60*$I$117/1000</f>
        <v>9.86536965</v>
      </c>
      <c r="G151" s="261" t="n">
        <f aca="false">G60*$I$117/1000</f>
        <v>9.86536965</v>
      </c>
      <c r="H151" s="261" t="n">
        <f aca="false">H60*$I$117/1000</f>
        <v>9.86536965</v>
      </c>
      <c r="I151" s="261" t="n">
        <f aca="false">I60*$I$117/1000</f>
        <v>9.86536965</v>
      </c>
    </row>
    <row r="152" customFormat="false" ht="13.5" hidden="false" customHeight="false" outlineLevel="0" collapsed="false">
      <c r="A152" s="257" t="str">
        <f aca="false">A61</f>
        <v>Renault Kangoo</v>
      </c>
      <c r="B152" s="257" t="str">
        <f aca="false">B61</f>
        <v>Electricistas</v>
      </c>
      <c r="C152" s="257" t="str">
        <f aca="false">C61</f>
        <v>GASOIL</v>
      </c>
      <c r="D152" s="261" t="n">
        <f aca="false">D61*$I$117/1000</f>
        <v>6.905758755</v>
      </c>
      <c r="E152" s="261" t="n">
        <f aca="false">E61*$I$117/1000</f>
        <v>6.905758755</v>
      </c>
      <c r="F152" s="261" t="n">
        <f aca="false">F61*$I$117/1000</f>
        <v>6.905758755</v>
      </c>
      <c r="G152" s="261" t="n">
        <f aca="false">G61*$I$117/1000</f>
        <v>6.905758755</v>
      </c>
      <c r="H152" s="261" t="n">
        <f aca="false">H61*$I$117/1000</f>
        <v>6.905758755</v>
      </c>
      <c r="I152" s="261" t="n">
        <f aca="false">I61*$I$117/1000</f>
        <v>6.905758755</v>
      </c>
    </row>
    <row r="153" customFormat="false" ht="13.5" hidden="false" customHeight="false" outlineLevel="0" collapsed="false">
      <c r="A153" s="257" t="str">
        <f aca="false">A62</f>
        <v>Nissan Terrano</v>
      </c>
      <c r="B153" s="257" t="str">
        <f aca="false">B62</f>
        <v>Servicios Sociales</v>
      </c>
      <c r="C153" s="257" t="str">
        <f aca="false">C62</f>
        <v>GASOIL</v>
      </c>
      <c r="D153" s="261" t="n">
        <f aca="false">D62*$I$117/1000</f>
        <v>2.959610895</v>
      </c>
      <c r="E153" s="261" t="n">
        <f aca="false">E62*$I$117/1000</f>
        <v>2.959610895</v>
      </c>
      <c r="F153" s="261" t="n">
        <f aca="false">F62*$I$117/1000</f>
        <v>2.959610895</v>
      </c>
      <c r="G153" s="261" t="n">
        <f aca="false">G62*$I$117/1000</f>
        <v>2.959610895</v>
      </c>
      <c r="H153" s="261" t="n">
        <f aca="false">H62*$I$117/1000</f>
        <v>2.959610895</v>
      </c>
      <c r="I153" s="261" t="n">
        <f aca="false">I62*$I$117/1000</f>
        <v>2.959610895</v>
      </c>
    </row>
    <row r="154" customFormat="false" ht="13.5" hidden="false" customHeight="false" outlineLevel="0" collapsed="false">
      <c r="A154" s="257" t="str">
        <f aca="false">A63</f>
        <v>Nissan Terrano</v>
      </c>
      <c r="B154" s="257" t="str">
        <f aca="false">B63</f>
        <v>Servicios Sociales</v>
      </c>
      <c r="C154" s="257" t="str">
        <f aca="false">C63</f>
        <v>GASOIL</v>
      </c>
      <c r="D154" s="261" t="n">
        <f aca="false">D63*$I$117/1000</f>
        <v>2.959610895</v>
      </c>
      <c r="E154" s="261" t="n">
        <f aca="false">E63*$I$117/1000</f>
        <v>2.959610895</v>
      </c>
      <c r="F154" s="261" t="n">
        <f aca="false">F63*$I$117/1000</f>
        <v>2.959610895</v>
      </c>
      <c r="G154" s="261" t="n">
        <f aca="false">G63*$I$117/1000</f>
        <v>2.959610895</v>
      </c>
      <c r="H154" s="261" t="n">
        <f aca="false">H63*$I$117/1000</f>
        <v>2.959610895</v>
      </c>
      <c r="I154" s="261" t="n">
        <f aca="false">I63*$I$117/1000</f>
        <v>2.959610895</v>
      </c>
    </row>
    <row r="155" customFormat="false" ht="13.5" hidden="false" customHeight="false" outlineLevel="0" collapsed="false">
      <c r="A155" s="257" t="str">
        <f aca="false">A64</f>
        <v>IVECO</v>
      </c>
      <c r="B155" s="257" t="str">
        <f aca="false">B64</f>
        <v>Palau</v>
      </c>
      <c r="C155" s="257" t="str">
        <f aca="false">C64</f>
        <v>GASOIL</v>
      </c>
      <c r="D155" s="261" t="n">
        <f aca="false">D64*$I$117/1000</f>
        <v>0</v>
      </c>
      <c r="E155" s="261" t="n">
        <f aca="false">E64*$I$117/1000</f>
        <v>14.798054475</v>
      </c>
      <c r="F155" s="261" t="n">
        <f aca="false">F64*$I$117/1000</f>
        <v>14.798054475</v>
      </c>
      <c r="G155" s="261" t="n">
        <f aca="false">G64*$I$117/1000</f>
        <v>14.798054475</v>
      </c>
      <c r="H155" s="261" t="n">
        <f aca="false">H64*$I$117/1000</f>
        <v>14.798054475</v>
      </c>
      <c r="I155" s="261" t="n">
        <f aca="false">I64*$I$117/1000</f>
        <v>14.798054475</v>
      </c>
    </row>
    <row r="156" customFormat="false" ht="13.5" hidden="false" customHeight="false" outlineLevel="0" collapsed="false">
      <c r="A156" s="257" t="str">
        <f aca="false">A65</f>
        <v>Renault Kangoo</v>
      </c>
      <c r="B156" s="257" t="str">
        <f aca="false">B65</f>
        <v>Medio Ambiente</v>
      </c>
      <c r="C156" s="257" t="str">
        <f aca="false">C65</f>
        <v>GASOIL</v>
      </c>
      <c r="D156" s="261" t="n">
        <f aca="false">D65*$I$117/1000</f>
        <v>14.798054475</v>
      </c>
      <c r="E156" s="261" t="n">
        <f aca="false">E65*$I$117/1000</f>
        <v>14.798054475</v>
      </c>
      <c r="F156" s="261" t="n">
        <f aca="false">F65*$I$117/1000</f>
        <v>14.798054475</v>
      </c>
      <c r="G156" s="261" t="n">
        <f aca="false">G65*$I$117/1000</f>
        <v>14.798054475</v>
      </c>
      <c r="H156" s="261" t="n">
        <f aca="false">H65*$I$117/1000</f>
        <v>14.798054475</v>
      </c>
      <c r="I156" s="261" t="n">
        <f aca="false">I65*$I$117/1000</f>
        <v>14.798054475</v>
      </c>
    </row>
    <row r="157" customFormat="false" ht="13.5" hidden="false" customHeight="false" outlineLevel="0" collapsed="false">
      <c r="A157" s="257" t="str">
        <f aca="false">A66</f>
        <v>Renault Kangoo</v>
      </c>
      <c r="B157" s="257" t="str">
        <f aca="false">B66</f>
        <v>Medio Ambiente</v>
      </c>
      <c r="C157" s="257" t="str">
        <f aca="false">C66</f>
        <v>GASOIL</v>
      </c>
      <c r="D157" s="261" t="n">
        <f aca="false">D66*$I$117/1000</f>
        <v>14.798054475</v>
      </c>
      <c r="E157" s="261" t="n">
        <f aca="false">E66*$I$117/1000</f>
        <v>14.798054475</v>
      </c>
      <c r="F157" s="261" t="n">
        <f aca="false">F66*$I$117/1000</f>
        <v>14.798054475</v>
      </c>
      <c r="G157" s="261" t="n">
        <f aca="false">G66*$I$117/1000</f>
        <v>14.798054475</v>
      </c>
      <c r="H157" s="261" t="n">
        <f aca="false">H66*$I$117/1000</f>
        <v>14.798054475</v>
      </c>
      <c r="I157" s="261" t="n">
        <f aca="false">I66*$I$117/1000</f>
        <v>14.798054475</v>
      </c>
    </row>
    <row r="158" customFormat="false" ht="13.5" hidden="false" customHeight="false" outlineLevel="0" collapsed="false">
      <c r="A158" s="257" t="str">
        <f aca="false">A67</f>
        <v>Renault Expres</v>
      </c>
      <c r="B158" s="257" t="str">
        <f aca="false">B67</f>
        <v>Parques y Jardines</v>
      </c>
      <c r="C158" s="257" t="str">
        <f aca="false">C67</f>
        <v>GASOIL</v>
      </c>
      <c r="D158" s="261" t="n">
        <f aca="false">D67*$I$117/1000</f>
        <v>14.798054475</v>
      </c>
      <c r="E158" s="261" t="n">
        <f aca="false">E67*$I$117/1000</f>
        <v>14.798054475</v>
      </c>
      <c r="F158" s="261" t="n">
        <f aca="false">F67*$I$117/1000</f>
        <v>14.798054475</v>
      </c>
      <c r="G158" s="261" t="n">
        <f aca="false">G67*$I$117/1000</f>
        <v>14.798054475</v>
      </c>
      <c r="H158" s="261" t="n">
        <f aca="false">H67*$I$117/1000</f>
        <v>14.798054475</v>
      </c>
      <c r="I158" s="261" t="n">
        <f aca="false">I67*$I$117/1000</f>
        <v>14.798054475</v>
      </c>
    </row>
    <row r="159" customFormat="false" ht="13.5" hidden="false" customHeight="false" outlineLevel="0" collapsed="false">
      <c r="A159" s="257" t="str">
        <f aca="false">A68</f>
        <v>Ford Courrier</v>
      </c>
      <c r="B159" s="257" t="str">
        <f aca="false">B68</f>
        <v>Brigada Obras</v>
      </c>
      <c r="C159" s="257" t="str">
        <f aca="false">C68</f>
        <v>GASOIL</v>
      </c>
      <c r="D159" s="261" t="n">
        <f aca="false">D68*$I$117/1000</f>
        <v>3.94614786</v>
      </c>
      <c r="E159" s="261" t="n">
        <f aca="false">E68*$I$117/1000</f>
        <v>3.94614786</v>
      </c>
      <c r="F159" s="261" t="n">
        <f aca="false">F68*$I$117/1000</f>
        <v>3.94614786</v>
      </c>
      <c r="G159" s="261" t="n">
        <f aca="false">G68*$I$117/1000</f>
        <v>3.94614786</v>
      </c>
      <c r="H159" s="261" t="n">
        <f aca="false">H68*$I$117/1000</f>
        <v>3.94614786</v>
      </c>
      <c r="I159" s="261" t="n">
        <f aca="false">I68*$I$117/1000</f>
        <v>3.94614786</v>
      </c>
    </row>
    <row r="160" customFormat="false" ht="13.5" hidden="false" customHeight="false" outlineLevel="0" collapsed="false">
      <c r="A160" s="257" t="str">
        <f aca="false">A69</f>
        <v>Ford Fiesta</v>
      </c>
      <c r="B160" s="257" t="str">
        <f aca="false">B69</f>
        <v>Notificador</v>
      </c>
      <c r="C160" s="257" t="str">
        <f aca="false">C69</f>
        <v>GASOIL</v>
      </c>
      <c r="D160" s="261" t="n">
        <f aca="false">D69*$I$117/1000</f>
        <v>5.91922179</v>
      </c>
      <c r="E160" s="261" t="n">
        <f aca="false">E69*$I$117/1000</f>
        <v>5.91922179</v>
      </c>
      <c r="F160" s="261" t="n">
        <f aca="false">F69*$I$117/1000</f>
        <v>5.91922179</v>
      </c>
      <c r="G160" s="261" t="n">
        <f aca="false">G69*$I$117/1000</f>
        <v>5.91922179</v>
      </c>
      <c r="H160" s="261" t="n">
        <f aca="false">H69*$I$117/1000</f>
        <v>5.91922179</v>
      </c>
      <c r="I160" s="261" t="n">
        <f aca="false">I69*$I$117/1000</f>
        <v>5.91922179</v>
      </c>
    </row>
    <row r="161" customFormat="false" ht="13.5" hidden="false" customHeight="false" outlineLevel="0" collapsed="false">
      <c r="A161" s="257" t="str">
        <f aca="false">A70</f>
        <v>Mitsubischi</v>
      </c>
      <c r="B161" s="257" t="str">
        <f aca="false">B70</f>
        <v>Protección Civil</v>
      </c>
      <c r="C161" s="257" t="str">
        <f aca="false">C70</f>
        <v>GASOIL</v>
      </c>
      <c r="D161" s="261" t="n">
        <f aca="false">D70*$I$117/1000</f>
        <v>2.959610895</v>
      </c>
      <c r="E161" s="261" t="n">
        <f aca="false">E70*$I$117/1000</f>
        <v>2.959610895</v>
      </c>
      <c r="F161" s="261" t="n">
        <f aca="false">F70*$I$117/1000</f>
        <v>2.959610895</v>
      </c>
      <c r="G161" s="261" t="n">
        <f aca="false">G70*$I$117/1000</f>
        <v>2.959610895</v>
      </c>
      <c r="H161" s="261" t="n">
        <f aca="false">H70*$I$117/1000</f>
        <v>2.959610895</v>
      </c>
      <c r="I161" s="261" t="n">
        <f aca="false">I70*$I$117/1000</f>
        <v>2.959610895</v>
      </c>
    </row>
    <row r="162" customFormat="false" ht="13.5" hidden="false" customHeight="false" outlineLevel="0" collapsed="false">
      <c r="A162" s="257" t="str">
        <f aca="false">A71</f>
        <v>Nissan PincK-Up</v>
      </c>
      <c r="B162" s="257" t="str">
        <f aca="false">B71</f>
        <v>Protección Civil</v>
      </c>
      <c r="C162" s="257" t="str">
        <f aca="false">C71</f>
        <v>GASOIL</v>
      </c>
      <c r="D162" s="261" t="n">
        <f aca="false">D71*$I$117/1000</f>
        <v>2.959610895</v>
      </c>
      <c r="E162" s="261" t="n">
        <f aca="false">E71*$I$117/1000</f>
        <v>2.959610895</v>
      </c>
      <c r="F162" s="261" t="n">
        <f aca="false">F71*$I$117/1000</f>
        <v>2.959610895</v>
      </c>
      <c r="G162" s="261" t="n">
        <f aca="false">G71*$I$117/1000</f>
        <v>2.959610895</v>
      </c>
      <c r="H162" s="261" t="n">
        <f aca="false">H71*$I$117/1000</f>
        <v>2.959610895</v>
      </c>
      <c r="I162" s="261" t="n">
        <f aca="false">I71*$I$117/1000</f>
        <v>2.959610895</v>
      </c>
    </row>
    <row r="163" customFormat="false" ht="13.5" hidden="false" customHeight="false" outlineLevel="0" collapsed="false">
      <c r="A163" s="257" t="n">
        <f aca="false">A72</f>
        <v>0</v>
      </c>
      <c r="B163" s="257" t="n">
        <f aca="false">B72</f>
        <v>0</v>
      </c>
      <c r="C163" s="257" t="str">
        <f aca="false">C72</f>
        <v>GASOIL</v>
      </c>
      <c r="D163" s="261" t="n">
        <f aca="false">D72*$I$117/1000</f>
        <v>0</v>
      </c>
      <c r="E163" s="261" t="n">
        <f aca="false">E72*$I$117/1000</f>
        <v>0</v>
      </c>
      <c r="F163" s="261" t="n">
        <f aca="false">F72*$I$117/1000</f>
        <v>0</v>
      </c>
      <c r="G163" s="261" t="n">
        <f aca="false">G72*$I$117/1000</f>
        <v>0</v>
      </c>
      <c r="H163" s="261" t="n">
        <f aca="false">H72*$I$117/1000</f>
        <v>0</v>
      </c>
      <c r="I163" s="261" t="n">
        <f aca="false">I72*$I$117/1000</f>
        <v>0</v>
      </c>
    </row>
    <row r="164" customFormat="false" ht="13.5" hidden="false" customHeight="false" outlineLevel="0" collapsed="false">
      <c r="A164" s="257" t="str">
        <f aca="false">A73</f>
        <v>Total</v>
      </c>
      <c r="B164" s="257" t="str">
        <f aca="false">B73</f>
        <v>-</v>
      </c>
      <c r="C164" s="257" t="str">
        <f aca="false">C73</f>
        <v>-</v>
      </c>
      <c r="D164" s="261" t="n">
        <f aca="false">D73*$I$117/1000</f>
        <v>155.87284047</v>
      </c>
      <c r="E164" s="261" t="n">
        <f aca="false">E73*$I$117/1000</f>
        <v>202.240077825</v>
      </c>
      <c r="F164" s="261" t="n">
        <f aca="false">F73*$I$117/1000</f>
        <v>202.240077825</v>
      </c>
      <c r="G164" s="261" t="n">
        <f aca="false">G73*$I$117/1000</f>
        <v>202.240077825</v>
      </c>
      <c r="H164" s="261" t="n">
        <f aca="false">H73*$I$117/1000</f>
        <v>202.240077825</v>
      </c>
      <c r="I164" s="261" t="n">
        <f aca="false">I73*$I$117/1000</f>
        <v>212.105447475</v>
      </c>
    </row>
  </sheetData>
  <mergeCells count="8">
    <mergeCell ref="B3:F3"/>
    <mergeCell ref="D17:I17"/>
    <mergeCell ref="J17:O17"/>
    <mergeCell ref="D46:I46"/>
    <mergeCell ref="D77:I77"/>
    <mergeCell ref="J77:O77"/>
    <mergeCell ref="D94:I94"/>
    <mergeCell ref="D124:I124"/>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sheetPr filterMode="false">
    <tabColor rgb="FF92D050"/>
    <pageSetUpPr fitToPage="false"/>
  </sheetPr>
  <dimension ref="A1:AI110"/>
  <sheetViews>
    <sheetView windowProtection="false" showFormulas="false" showGridLines="true" showRowColHeaders="true" showZeros="true" rightToLeft="false" tabSelected="false" showOutlineSymbols="true" defaultGridColor="true" view="normal" topLeftCell="A79" colorId="64" zoomScale="100" zoomScaleNormal="100" zoomScalePageLayoutView="100" workbookViewId="0">
      <selection pane="topLeft" activeCell="G40" activeCellId="0" sqref="G40"/>
    </sheetView>
  </sheetViews>
  <sheetFormatPr defaultRowHeight="12.75"/>
  <cols>
    <col collapsed="false" hidden="false" max="1" min="1" style="227" width="22.4081632653061"/>
    <col collapsed="false" hidden="false" max="2" min="2" style="227" width="14.7142857142857"/>
    <col collapsed="false" hidden="false" max="3" min="3" style="227" width="13.0918367346939"/>
    <col collapsed="false" hidden="false" max="4" min="4" style="227" width="12.8265306122449"/>
    <col collapsed="false" hidden="false" max="7" min="5" style="227" width="11.2040816326531"/>
    <col collapsed="false" hidden="false" max="8" min="8" style="227" width="12.6887755102041"/>
    <col collapsed="false" hidden="false" max="1025" min="9" style="227" width="11.2040816326531"/>
  </cols>
  <sheetData>
    <row r="1" s="73" customFormat="true" ht="13.5" hidden="false" customHeight="false" outlineLevel="0" collapsed="false">
      <c r="A1" s="83" t="str">
        <f aca="false">'0.DADES'!D2</f>
        <v>Andratx</v>
      </c>
      <c r="H1" s="177" t="s">
        <v>166</v>
      </c>
      <c r="K1" s="182"/>
      <c r="L1" s="182" t="n">
        <f aca="false">'0.DADES'!D8</f>
        <v>2005</v>
      </c>
      <c r="M1" s="182" t="n">
        <f aca="false">'0.DADES'!E8</f>
        <v>2006</v>
      </c>
      <c r="N1" s="182" t="n">
        <f aca="false">'0.DADES'!F8</f>
        <v>2007</v>
      </c>
      <c r="O1" s="182" t="n">
        <f aca="false">'0.DADES'!G8</f>
        <v>2008</v>
      </c>
      <c r="P1" s="182" t="n">
        <f aca="false">'0.DADES'!H8</f>
        <v>2009</v>
      </c>
      <c r="Q1" s="182" t="n">
        <f aca="false">'0.DADES'!I8</f>
        <v>2010</v>
      </c>
    </row>
    <row r="2" customFormat="false" ht="13.5" hidden="false" customHeight="false" outlineLevel="0" collapsed="false">
      <c r="B2" s="73"/>
      <c r="C2" s="73"/>
      <c r="D2" s="73"/>
      <c r="E2" s="73"/>
      <c r="F2" s="73"/>
      <c r="G2" s="73"/>
      <c r="H2" s="107" t="s">
        <v>167</v>
      </c>
      <c r="K2" s="182" t="s">
        <v>402</v>
      </c>
      <c r="L2" s="182" t="n">
        <f aca="false">'0.DADES'!D13</f>
        <v>11037</v>
      </c>
      <c r="M2" s="182" t="n">
        <f aca="false">'0.DADES'!E13</f>
        <v>11594</v>
      </c>
      <c r="N2" s="182" t="n">
        <f aca="false">'0.DADES'!F13</f>
        <v>12091</v>
      </c>
      <c r="O2" s="182" t="n">
        <f aca="false">'0.DADES'!G13</f>
        <v>12406</v>
      </c>
      <c r="P2" s="182" t="n">
        <f aca="false">'0.DADES'!H13</f>
        <v>12789</v>
      </c>
      <c r="Q2" s="182" t="n">
        <f aca="false">'0.DADES'!I13</f>
        <v>12731</v>
      </c>
    </row>
    <row r="3" customFormat="false" ht="24" hidden="false" customHeight="false" outlineLevel="0" collapsed="false">
      <c r="A3" s="103" t="s">
        <v>168</v>
      </c>
      <c r="B3" s="77" t="s">
        <v>38</v>
      </c>
      <c r="C3" s="77"/>
      <c r="D3" s="77"/>
      <c r="E3" s="77"/>
      <c r="F3" s="77"/>
      <c r="H3" s="108" t="s">
        <v>170</v>
      </c>
    </row>
    <row r="4" s="176" customFormat="true" ht="13.5" hidden="false" customHeight="false" outlineLevel="0" collapsed="false"/>
    <row r="5" s="176" customFormat="true" ht="13.5" hidden="false" customHeight="false" outlineLevel="0" collapsed="false"/>
    <row r="6" customFormat="false" ht="13.5" hidden="false" customHeight="false" outlineLevel="0" collapsed="false">
      <c r="A6" s="178"/>
      <c r="B6" s="179" t="n">
        <f aca="false">'0.DADES'!D8</f>
        <v>2005</v>
      </c>
      <c r="C6" s="179" t="n">
        <f aca="false">'0.DADES'!E8</f>
        <v>2006</v>
      </c>
      <c r="D6" s="179" t="n">
        <f aca="false">'0.DADES'!F8</f>
        <v>2007</v>
      </c>
      <c r="E6" s="179" t="n">
        <f aca="false">'0.DADES'!G8</f>
        <v>2008</v>
      </c>
      <c r="F6" s="179" t="n">
        <f aca="false">'0.DADES'!H8</f>
        <v>2009</v>
      </c>
      <c r="G6" s="179" t="n">
        <f aca="false">'0.DADES'!I8</f>
        <v>2010</v>
      </c>
      <c r="H6" s="179" t="s">
        <v>295</v>
      </c>
      <c r="I6" s="178"/>
      <c r="J6" s="178"/>
      <c r="K6" s="178"/>
      <c r="L6" s="178"/>
      <c r="M6" s="178"/>
      <c r="N6" s="178"/>
      <c r="O6" s="178"/>
      <c r="P6" s="178"/>
    </row>
    <row r="7" customFormat="false" ht="13.5" hidden="false" customHeight="false" outlineLevel="0" collapsed="false">
      <c r="A7" s="180" t="s">
        <v>492</v>
      </c>
      <c r="B7" s="153" t="n">
        <v>7</v>
      </c>
      <c r="C7" s="153" t="n">
        <v>7</v>
      </c>
      <c r="D7" s="153" t="n">
        <v>7</v>
      </c>
      <c r="E7" s="153" t="n">
        <v>7</v>
      </c>
      <c r="F7" s="153" t="n">
        <v>7</v>
      </c>
      <c r="G7" s="153" t="n">
        <v>7</v>
      </c>
      <c r="H7" s="239" t="n">
        <f aca="false">(F7-B7)/B7</f>
        <v>0</v>
      </c>
      <c r="I7" s="178"/>
      <c r="J7" s="178"/>
      <c r="K7" s="178"/>
      <c r="L7" s="178"/>
      <c r="M7" s="178"/>
      <c r="N7" s="178"/>
      <c r="O7" s="178"/>
      <c r="P7" s="178"/>
    </row>
    <row r="8" customFormat="false" ht="13.5" hidden="false" customHeight="false" outlineLevel="0" collapsed="false">
      <c r="A8" s="180" t="s">
        <v>300</v>
      </c>
      <c r="B8" s="181" t="n">
        <f aca="false">D72+D110</f>
        <v>577010.49385</v>
      </c>
      <c r="C8" s="181" t="n">
        <f aca="false">E72+E110</f>
        <v>577010.49385</v>
      </c>
      <c r="D8" s="181" t="n">
        <f aca="false">F72+F110</f>
        <v>577010.49385</v>
      </c>
      <c r="E8" s="181" t="n">
        <f aca="false">G72+G110</f>
        <v>577010.49385</v>
      </c>
      <c r="F8" s="181" t="n">
        <f aca="false">H72+H110</f>
        <v>577010.49385</v>
      </c>
      <c r="G8" s="181" t="n">
        <f aca="false">I72+I110</f>
        <v>577010.49385</v>
      </c>
      <c r="H8" s="239" t="n">
        <f aca="false">(F8-B8)/B8</f>
        <v>0</v>
      </c>
      <c r="I8" s="178"/>
      <c r="J8" s="178"/>
      <c r="K8" s="178"/>
      <c r="L8" s="178"/>
      <c r="M8" s="178"/>
      <c r="N8" s="178"/>
      <c r="O8" s="178"/>
      <c r="P8" s="178"/>
    </row>
    <row r="9" customFormat="false" ht="13.5" hidden="false" customHeight="false" outlineLevel="0" collapsed="false">
      <c r="A9" s="180" t="s">
        <v>301</v>
      </c>
      <c r="B9" s="181" t="n">
        <f aca="false">+J43+J92</f>
        <v>51128.95515</v>
      </c>
      <c r="C9" s="181" t="n">
        <f aca="false">+K43+K92</f>
        <v>54263.9524</v>
      </c>
      <c r="D9" s="181" t="n">
        <f aca="false">+L43+L92</f>
        <v>55289.9515</v>
      </c>
      <c r="E9" s="181" t="n">
        <f aca="false">+M43+M92</f>
        <v>64751.9432</v>
      </c>
      <c r="F9" s="181" t="n">
        <f aca="false">+N43+N92</f>
        <v>51755.9546</v>
      </c>
      <c r="G9" s="181" t="n">
        <f aca="false">+O43+O92</f>
        <v>60989.9465</v>
      </c>
      <c r="H9" s="239" t="n">
        <f aca="false">(F9-B9)/B9</f>
        <v>0.0122630992196212</v>
      </c>
      <c r="I9" s="178"/>
      <c r="J9" s="178"/>
      <c r="K9" s="178"/>
      <c r="L9" s="178"/>
      <c r="M9" s="178"/>
      <c r="N9" s="178"/>
      <c r="O9" s="178"/>
      <c r="P9" s="178"/>
    </row>
    <row r="10" customFormat="false" ht="13.5" hidden="false" customHeight="false" outlineLevel="0" collapsed="false">
      <c r="A10" s="180" t="s">
        <v>302</v>
      </c>
      <c r="B10" s="181" t="n">
        <f aca="false">B9/B8</f>
        <v>0.0886100958213968</v>
      </c>
      <c r="C10" s="181" t="n">
        <f aca="false">C9/C8</f>
        <v>0.0940432678059864</v>
      </c>
      <c r="D10" s="181" t="n">
        <f aca="false">D9/D8</f>
        <v>0.0958213968191248</v>
      </c>
      <c r="E10" s="181" t="n">
        <f aca="false">E9/E8</f>
        <v>0.112219697718068</v>
      </c>
      <c r="F10" s="181" t="n">
        <f aca="false">F9/F8</f>
        <v>0.0896967302183148</v>
      </c>
      <c r="G10" s="181" t="n">
        <f aca="false">G9/G8</f>
        <v>0.10569989133656</v>
      </c>
      <c r="H10" s="239" t="n">
        <f aca="false">(F10-B10)/B10</f>
        <v>0.0122630992196212</v>
      </c>
      <c r="I10" s="178"/>
      <c r="J10" s="178"/>
      <c r="K10" s="178"/>
      <c r="L10" s="178"/>
      <c r="M10" s="178"/>
      <c r="N10" s="178"/>
      <c r="O10" s="178"/>
      <c r="P10" s="178"/>
    </row>
    <row r="11" customFormat="false" ht="13.5" hidden="false" customHeight="false" outlineLevel="0" collapsed="false">
      <c r="G11" s="187"/>
      <c r="H11" s="187"/>
      <c r="I11" s="187"/>
      <c r="J11" s="187"/>
      <c r="K11" s="187"/>
      <c r="M11" s="187"/>
      <c r="N11" s="187"/>
      <c r="O11" s="187"/>
      <c r="P11" s="187"/>
      <c r="Q11" s="187"/>
      <c r="S11" s="187"/>
      <c r="T11" s="187"/>
      <c r="U11" s="187"/>
      <c r="V11" s="187"/>
      <c r="W11" s="187"/>
      <c r="Y11" s="187"/>
      <c r="Z11" s="187"/>
      <c r="AA11" s="187"/>
      <c r="AB11" s="187"/>
      <c r="AC11" s="187"/>
      <c r="AD11" s="185"/>
      <c r="AE11" s="186"/>
      <c r="AF11" s="188"/>
      <c r="AG11" s="185"/>
    </row>
    <row r="12" customFormat="false" ht="13.5" hidden="false" customHeight="false" outlineLevel="0" collapsed="false">
      <c r="A12" s="176" t="s">
        <v>532</v>
      </c>
      <c r="B12" s="179" t="n">
        <v>2005</v>
      </c>
      <c r="C12" s="179" t="n">
        <v>2006</v>
      </c>
      <c r="D12" s="179" t="n">
        <v>2007</v>
      </c>
      <c r="E12" s="179" t="n">
        <v>2008</v>
      </c>
      <c r="F12" s="179" t="n">
        <v>2009</v>
      </c>
      <c r="G12" s="179" t="n">
        <v>2010</v>
      </c>
      <c r="H12" s="187"/>
      <c r="I12" s="187"/>
      <c r="J12" s="187"/>
      <c r="K12" s="187"/>
      <c r="M12" s="187"/>
      <c r="N12" s="187"/>
      <c r="O12" s="187"/>
      <c r="P12" s="187"/>
      <c r="Q12" s="187"/>
      <c r="S12" s="187"/>
      <c r="T12" s="187"/>
      <c r="U12" s="187"/>
      <c r="V12" s="187"/>
      <c r="W12" s="187"/>
      <c r="Y12" s="187"/>
      <c r="Z12" s="187"/>
      <c r="AA12" s="187"/>
      <c r="AB12" s="187"/>
      <c r="AC12" s="187"/>
      <c r="AD12" s="185"/>
      <c r="AE12" s="186"/>
      <c r="AF12" s="188"/>
      <c r="AG12" s="185"/>
    </row>
    <row r="13" customFormat="false" ht="13.5" hidden="false" customHeight="false" outlineLevel="0" collapsed="false">
      <c r="A13" s="180" t="s">
        <v>117</v>
      </c>
      <c r="B13" s="242" t="n">
        <v>0.897</v>
      </c>
      <c r="C13" s="242" t="n">
        <v>0.952</v>
      </c>
      <c r="D13" s="242" t="n">
        <v>0.97</v>
      </c>
      <c r="E13" s="242" t="n">
        <v>1.136</v>
      </c>
      <c r="F13" s="242" t="n">
        <v>0.908</v>
      </c>
      <c r="G13" s="242" t="n">
        <v>1.07</v>
      </c>
      <c r="H13" s="187"/>
      <c r="I13" s="187"/>
      <c r="J13" s="187"/>
      <c r="K13" s="187"/>
      <c r="M13" s="187"/>
      <c r="N13" s="187"/>
      <c r="O13" s="187"/>
      <c r="P13" s="187"/>
      <c r="Q13" s="187"/>
      <c r="S13" s="187"/>
      <c r="T13" s="187"/>
      <c r="U13" s="187"/>
      <c r="V13" s="187"/>
      <c r="W13" s="187"/>
      <c r="Y13" s="187"/>
      <c r="Z13" s="187"/>
      <c r="AA13" s="187"/>
      <c r="AB13" s="187"/>
      <c r="AC13" s="187"/>
      <c r="AD13" s="185"/>
      <c r="AE13" s="186"/>
      <c r="AF13" s="188"/>
      <c r="AG13" s="185"/>
    </row>
    <row r="14" customFormat="false" ht="13.5" hidden="false" customHeight="false" outlineLevel="0" collapsed="false">
      <c r="A14" s="180" t="s">
        <v>228</v>
      </c>
      <c r="B14" s="242" t="n">
        <v>0.959</v>
      </c>
      <c r="C14" s="242" t="n">
        <v>1.024</v>
      </c>
      <c r="D14" s="242" t="n">
        <v>1.042</v>
      </c>
      <c r="E14" s="242" t="n">
        <v>1.115</v>
      </c>
      <c r="F14" s="242" t="n">
        <v>1</v>
      </c>
      <c r="G14" s="242" t="n">
        <v>1.158</v>
      </c>
      <c r="H14" s="187"/>
      <c r="I14" s="187"/>
      <c r="J14" s="187"/>
      <c r="K14" s="187"/>
      <c r="M14" s="187"/>
      <c r="N14" s="187"/>
      <c r="O14" s="187"/>
      <c r="P14" s="187"/>
      <c r="Q14" s="187"/>
      <c r="S14" s="187"/>
      <c r="T14" s="187"/>
      <c r="U14" s="187"/>
      <c r="V14" s="187"/>
      <c r="W14" s="187"/>
      <c r="Y14" s="187"/>
      <c r="Z14" s="187"/>
      <c r="AA14" s="187"/>
      <c r="AB14" s="187"/>
      <c r="AC14" s="187"/>
      <c r="AD14" s="185"/>
      <c r="AE14" s="186"/>
      <c r="AF14" s="188"/>
      <c r="AG14" s="185"/>
    </row>
    <row r="15" customFormat="false" ht="13.5" hidden="false" customHeight="false" outlineLevel="0" collapsed="false">
      <c r="G15" s="187"/>
      <c r="H15" s="187"/>
      <c r="I15" s="187"/>
      <c r="J15" s="187"/>
      <c r="K15" s="187"/>
      <c r="M15" s="187"/>
      <c r="N15" s="187"/>
      <c r="O15" s="187"/>
      <c r="P15" s="187"/>
      <c r="Q15" s="187"/>
      <c r="S15" s="187"/>
      <c r="T15" s="187"/>
      <c r="U15" s="187"/>
      <c r="V15" s="187"/>
      <c r="W15" s="187"/>
      <c r="Y15" s="187"/>
      <c r="Z15" s="187"/>
      <c r="AA15" s="187"/>
      <c r="AB15" s="187"/>
      <c r="AC15" s="187"/>
      <c r="AD15" s="185"/>
      <c r="AE15" s="186"/>
      <c r="AF15" s="188"/>
      <c r="AG15" s="185"/>
    </row>
    <row r="16" customFormat="false" ht="13.5" hidden="false" customHeight="false" outlineLevel="0" collapsed="false">
      <c r="A16" s="194" t="s">
        <v>494</v>
      </c>
      <c r="D16" s="182" t="s">
        <v>391</v>
      </c>
      <c r="E16" s="182"/>
      <c r="F16" s="182"/>
      <c r="G16" s="182"/>
      <c r="H16" s="182"/>
      <c r="I16" s="182"/>
      <c r="J16" s="182" t="s">
        <v>322</v>
      </c>
      <c r="K16" s="182"/>
      <c r="L16" s="182"/>
      <c r="M16" s="182"/>
      <c r="N16" s="182"/>
      <c r="O16" s="182"/>
      <c r="P16" s="184"/>
      <c r="Q16" s="184"/>
      <c r="R16" s="195"/>
      <c r="S16" s="184"/>
      <c r="T16" s="184"/>
      <c r="U16" s="184"/>
      <c r="V16" s="184"/>
      <c r="W16" s="184"/>
      <c r="X16" s="195"/>
      <c r="Y16" s="184"/>
      <c r="Z16" s="184"/>
      <c r="AA16" s="184"/>
      <c r="AB16" s="184"/>
      <c r="AC16" s="184"/>
      <c r="AD16" s="196"/>
      <c r="AE16" s="197"/>
      <c r="AF16" s="188"/>
      <c r="AG16" s="196"/>
      <c r="AH16" s="195"/>
      <c r="AI16" s="195"/>
    </row>
    <row r="17" s="249" customFormat="true" ht="25.5" hidden="false" customHeight="false" outlineLevel="0" collapsed="false">
      <c r="A17" s="190" t="s">
        <v>495</v>
      </c>
      <c r="B17" s="190" t="s">
        <v>496</v>
      </c>
      <c r="C17" s="190" t="s">
        <v>497</v>
      </c>
      <c r="D17" s="190" t="n">
        <f aca="false">B6</f>
        <v>2005</v>
      </c>
      <c r="E17" s="190" t="n">
        <f aca="false">C6</f>
        <v>2006</v>
      </c>
      <c r="F17" s="190" t="n">
        <f aca="false">D6</f>
        <v>2007</v>
      </c>
      <c r="G17" s="190" t="n">
        <f aca="false">E6</f>
        <v>2008</v>
      </c>
      <c r="H17" s="190" t="n">
        <f aca="false">F6</f>
        <v>2009</v>
      </c>
      <c r="I17" s="190" t="n">
        <f aca="false">G6</f>
        <v>2010</v>
      </c>
      <c r="J17" s="190" t="n">
        <f aca="false">D17</f>
        <v>2005</v>
      </c>
      <c r="K17" s="190" t="n">
        <f aca="false">E17</f>
        <v>2006</v>
      </c>
      <c r="L17" s="190" t="n">
        <f aca="false">F17</f>
        <v>2007</v>
      </c>
      <c r="M17" s="190" t="n">
        <f aca="false">G17</f>
        <v>2008</v>
      </c>
      <c r="N17" s="190" t="n">
        <f aca="false">H17</f>
        <v>2009</v>
      </c>
      <c r="O17" s="190" t="n">
        <f aca="false">I17</f>
        <v>2010</v>
      </c>
      <c r="P17" s="243"/>
      <c r="Q17" s="244"/>
      <c r="R17" s="244"/>
      <c r="S17" s="244"/>
      <c r="T17" s="244"/>
      <c r="U17" s="244"/>
      <c r="V17" s="243"/>
      <c r="W17" s="244"/>
      <c r="X17" s="244"/>
      <c r="Y17" s="244"/>
      <c r="Z17" s="244"/>
      <c r="AA17" s="244"/>
      <c r="AB17" s="245"/>
      <c r="AC17" s="246"/>
      <c r="AD17" s="247"/>
      <c r="AE17" s="245"/>
      <c r="AF17" s="248"/>
      <c r="AG17" s="248"/>
      <c r="AH17" s="248"/>
      <c r="AI17" s="248"/>
    </row>
    <row r="18" s="176" customFormat="true" ht="13.5" hidden="false" customHeight="false" outlineLevel="0" collapsed="false">
      <c r="A18" s="204" t="s">
        <v>533</v>
      </c>
      <c r="B18" s="204" t="s">
        <v>534</v>
      </c>
      <c r="C18" s="204" t="s">
        <v>233</v>
      </c>
      <c r="D18" s="204" t="n">
        <v>8142.85</v>
      </c>
      <c r="E18" s="204" t="n">
        <v>8142.85</v>
      </c>
      <c r="F18" s="204" t="n">
        <v>8142.85</v>
      </c>
      <c r="G18" s="204" t="n">
        <v>8142.85</v>
      </c>
      <c r="H18" s="204" t="n">
        <v>8142.85</v>
      </c>
      <c r="I18" s="204" t="n">
        <v>8142.85</v>
      </c>
      <c r="J18" s="204" t="n">
        <f aca="false">D18*$B$13</f>
        <v>7304.13645</v>
      </c>
      <c r="K18" s="204" t="n">
        <f aca="false">E18*$C$13</f>
        <v>7751.9932</v>
      </c>
      <c r="L18" s="204" t="n">
        <f aca="false">F18*$D$13</f>
        <v>7898.5645</v>
      </c>
      <c r="M18" s="204" t="n">
        <f aca="false">G18*$E$13</f>
        <v>9250.2776</v>
      </c>
      <c r="N18" s="204" t="n">
        <f aca="false">H18*$F$13</f>
        <v>7393.7078</v>
      </c>
      <c r="O18" s="204" t="n">
        <f aca="false">I18*$G$13</f>
        <v>8712.8495</v>
      </c>
      <c r="P18" s="232"/>
      <c r="Q18" s="195"/>
      <c r="R18" s="195"/>
      <c r="S18" s="195"/>
      <c r="T18" s="195"/>
      <c r="U18" s="195"/>
      <c r="V18" s="232"/>
      <c r="W18" s="206"/>
      <c r="X18" s="206"/>
      <c r="Y18" s="206"/>
      <c r="Z18" s="206"/>
      <c r="AA18" s="206"/>
      <c r="AB18" s="196"/>
      <c r="AC18" s="199"/>
      <c r="AD18" s="197"/>
      <c r="AE18" s="196"/>
      <c r="AF18" s="196"/>
      <c r="AG18" s="195"/>
      <c r="AH18" s="195"/>
      <c r="AI18" s="195"/>
    </row>
    <row r="19" s="176" customFormat="true" ht="13.5" hidden="false" customHeight="false" outlineLevel="0" collapsed="false">
      <c r="A19" s="204" t="s">
        <v>535</v>
      </c>
      <c r="B19" s="204" t="s">
        <v>534</v>
      </c>
      <c r="C19" s="204" t="s">
        <v>233</v>
      </c>
      <c r="D19" s="204" t="n">
        <v>8142.85</v>
      </c>
      <c r="E19" s="204" t="n">
        <v>8142.85</v>
      </c>
      <c r="F19" s="204" t="n">
        <v>8142.85</v>
      </c>
      <c r="G19" s="204" t="n">
        <v>8142.85</v>
      </c>
      <c r="H19" s="204" t="n">
        <v>8142.85</v>
      </c>
      <c r="I19" s="204" t="n">
        <v>8142.85</v>
      </c>
      <c r="J19" s="204" t="n">
        <f aca="false">D19*$B$13</f>
        <v>7304.13645</v>
      </c>
      <c r="K19" s="204" t="n">
        <f aca="false">E19*$C$13</f>
        <v>7751.9932</v>
      </c>
      <c r="L19" s="204" t="n">
        <f aca="false">F19*$D$13</f>
        <v>7898.5645</v>
      </c>
      <c r="M19" s="204" t="n">
        <f aca="false">G19*$E$13</f>
        <v>9250.2776</v>
      </c>
      <c r="N19" s="204" t="n">
        <f aca="false">H19*$F$13</f>
        <v>7393.7078</v>
      </c>
      <c r="O19" s="204" t="n">
        <f aca="false">I19*$G$13</f>
        <v>8712.8495</v>
      </c>
      <c r="P19" s="232"/>
      <c r="Q19" s="195"/>
      <c r="R19" s="195"/>
      <c r="S19" s="195"/>
      <c r="T19" s="195"/>
      <c r="U19" s="195"/>
      <c r="V19" s="232"/>
      <c r="W19" s="206"/>
      <c r="X19" s="206"/>
      <c r="Y19" s="206"/>
      <c r="Z19" s="206"/>
      <c r="AA19" s="206"/>
      <c r="AB19" s="196"/>
      <c r="AC19" s="199"/>
      <c r="AD19" s="197"/>
      <c r="AE19" s="196"/>
      <c r="AF19" s="196"/>
      <c r="AG19" s="195"/>
      <c r="AH19" s="195"/>
      <c r="AI19" s="195"/>
    </row>
    <row r="20" s="176" customFormat="true" ht="13.5" hidden="false" customHeight="false" outlineLevel="0" collapsed="false">
      <c r="A20" s="204" t="s">
        <v>536</v>
      </c>
      <c r="B20" s="204" t="s">
        <v>534</v>
      </c>
      <c r="C20" s="204" t="s">
        <v>233</v>
      </c>
      <c r="D20" s="204" t="n">
        <v>8142.85</v>
      </c>
      <c r="E20" s="204" t="n">
        <v>8142.85</v>
      </c>
      <c r="F20" s="204" t="n">
        <v>8142.85</v>
      </c>
      <c r="G20" s="204" t="n">
        <v>8142.85</v>
      </c>
      <c r="H20" s="204" t="n">
        <v>8142.85</v>
      </c>
      <c r="I20" s="204" t="n">
        <v>8142.85</v>
      </c>
      <c r="J20" s="204" t="n">
        <f aca="false">D20*$B$13</f>
        <v>7304.13645</v>
      </c>
      <c r="K20" s="204" t="n">
        <f aca="false">E20*$C$13</f>
        <v>7751.9932</v>
      </c>
      <c r="L20" s="204" t="n">
        <f aca="false">F20*$D$13</f>
        <v>7898.5645</v>
      </c>
      <c r="M20" s="204" t="n">
        <f aca="false">G20*$E$13</f>
        <v>9250.2776</v>
      </c>
      <c r="N20" s="204" t="n">
        <f aca="false">H20*$F$13</f>
        <v>7393.7078</v>
      </c>
      <c r="O20" s="204" t="n">
        <f aca="false">I20*$G$13</f>
        <v>8712.8495</v>
      </c>
      <c r="P20" s="232"/>
      <c r="Q20" s="195"/>
      <c r="R20" s="195"/>
      <c r="S20" s="195"/>
      <c r="T20" s="195"/>
      <c r="U20" s="195"/>
      <c r="V20" s="232"/>
      <c r="W20" s="206"/>
      <c r="X20" s="206"/>
      <c r="Y20" s="206"/>
      <c r="Z20" s="206"/>
      <c r="AA20" s="206"/>
      <c r="AB20" s="196"/>
      <c r="AC20" s="199"/>
      <c r="AD20" s="197"/>
      <c r="AE20" s="196"/>
      <c r="AF20" s="196"/>
      <c r="AG20" s="195"/>
      <c r="AH20" s="195"/>
      <c r="AI20" s="195"/>
    </row>
    <row r="21" s="176" customFormat="true" ht="13.5" hidden="false" customHeight="false" outlineLevel="0" collapsed="false">
      <c r="A21" s="204" t="s">
        <v>537</v>
      </c>
      <c r="B21" s="204" t="s">
        <v>534</v>
      </c>
      <c r="C21" s="204" t="s">
        <v>233</v>
      </c>
      <c r="D21" s="204" t="n">
        <v>8142.85</v>
      </c>
      <c r="E21" s="204" t="n">
        <v>8142.85</v>
      </c>
      <c r="F21" s="204" t="n">
        <v>8142.85</v>
      </c>
      <c r="G21" s="204" t="n">
        <v>8142.85</v>
      </c>
      <c r="H21" s="204" t="n">
        <v>8142.85</v>
      </c>
      <c r="I21" s="204" t="n">
        <v>8142.85</v>
      </c>
      <c r="J21" s="204" t="n">
        <f aca="false">D21*$B$13</f>
        <v>7304.13645</v>
      </c>
      <c r="K21" s="204" t="n">
        <f aca="false">E21*$C$13</f>
        <v>7751.9932</v>
      </c>
      <c r="L21" s="204" t="n">
        <f aca="false">F21*$D$13</f>
        <v>7898.5645</v>
      </c>
      <c r="M21" s="204" t="n">
        <f aca="false">G21*$E$13</f>
        <v>9250.2776</v>
      </c>
      <c r="N21" s="204" t="n">
        <f aca="false">H21*$F$13</f>
        <v>7393.7078</v>
      </c>
      <c r="O21" s="204" t="n">
        <f aca="false">I21*$G$13</f>
        <v>8712.8495</v>
      </c>
      <c r="P21" s="232"/>
      <c r="Q21" s="195"/>
      <c r="R21" s="195"/>
      <c r="S21" s="195"/>
      <c r="T21" s="195"/>
      <c r="U21" s="195"/>
      <c r="V21" s="232"/>
      <c r="W21" s="206"/>
      <c r="X21" s="206"/>
      <c r="Y21" s="206"/>
      <c r="Z21" s="206"/>
      <c r="AA21" s="206"/>
      <c r="AB21" s="196"/>
      <c r="AC21" s="199"/>
      <c r="AD21" s="197"/>
      <c r="AE21" s="196"/>
      <c r="AF21" s="196"/>
      <c r="AG21" s="195"/>
      <c r="AH21" s="195"/>
      <c r="AI21" s="195"/>
    </row>
    <row r="22" s="176" customFormat="true" ht="13.5" hidden="false" customHeight="false" outlineLevel="0" collapsed="false">
      <c r="A22" s="204" t="s">
        <v>538</v>
      </c>
      <c r="B22" s="204" t="s">
        <v>534</v>
      </c>
      <c r="C22" s="204" t="s">
        <v>233</v>
      </c>
      <c r="D22" s="204" t="n">
        <v>8142.85</v>
      </c>
      <c r="E22" s="204" t="n">
        <v>8142.85</v>
      </c>
      <c r="F22" s="204" t="n">
        <v>8142.85</v>
      </c>
      <c r="G22" s="204" t="n">
        <v>8142.85</v>
      </c>
      <c r="H22" s="204" t="n">
        <v>8142.85</v>
      </c>
      <c r="I22" s="204" t="n">
        <v>8142.85</v>
      </c>
      <c r="J22" s="204" t="n">
        <f aca="false">D22*$B$13</f>
        <v>7304.13645</v>
      </c>
      <c r="K22" s="204" t="n">
        <f aca="false">E22*$C$13</f>
        <v>7751.9932</v>
      </c>
      <c r="L22" s="204" t="n">
        <f aca="false">F22*$D$13</f>
        <v>7898.5645</v>
      </c>
      <c r="M22" s="204" t="n">
        <f aca="false">G22*$E$13</f>
        <v>9250.2776</v>
      </c>
      <c r="N22" s="204" t="n">
        <f aca="false">H22*$F$13</f>
        <v>7393.7078</v>
      </c>
      <c r="O22" s="204" t="n">
        <f aca="false">I22*$G$13</f>
        <v>8712.8495</v>
      </c>
      <c r="P22" s="232"/>
      <c r="Q22" s="195"/>
      <c r="R22" s="195"/>
      <c r="S22" s="195"/>
      <c r="T22" s="195"/>
      <c r="U22" s="195"/>
      <c r="V22" s="232"/>
      <c r="W22" s="206"/>
      <c r="X22" s="206"/>
      <c r="Y22" s="206"/>
      <c r="Z22" s="206"/>
      <c r="AA22" s="206"/>
      <c r="AB22" s="196"/>
      <c r="AC22" s="199"/>
      <c r="AD22" s="197"/>
      <c r="AE22" s="196"/>
      <c r="AF22" s="196"/>
      <c r="AG22" s="195"/>
      <c r="AH22" s="195"/>
      <c r="AI22" s="195"/>
    </row>
    <row r="23" s="176" customFormat="true" ht="13.5" hidden="false" customHeight="false" outlineLevel="0" collapsed="false">
      <c r="A23" s="204" t="s">
        <v>539</v>
      </c>
      <c r="B23" s="204" t="s">
        <v>534</v>
      </c>
      <c r="C23" s="204" t="s">
        <v>233</v>
      </c>
      <c r="D23" s="204" t="n">
        <v>8142.85</v>
      </c>
      <c r="E23" s="204" t="n">
        <v>8142.85</v>
      </c>
      <c r="F23" s="204" t="n">
        <v>8142.85</v>
      </c>
      <c r="G23" s="204" t="n">
        <v>8142.85</v>
      </c>
      <c r="H23" s="204" t="n">
        <v>8142.85</v>
      </c>
      <c r="I23" s="204" t="n">
        <v>8142.85</v>
      </c>
      <c r="J23" s="204" t="n">
        <f aca="false">D23*$B$13</f>
        <v>7304.13645</v>
      </c>
      <c r="K23" s="204" t="n">
        <f aca="false">E23*$C$13</f>
        <v>7751.9932</v>
      </c>
      <c r="L23" s="204" t="n">
        <f aca="false">F23*$D$13</f>
        <v>7898.5645</v>
      </c>
      <c r="M23" s="204" t="n">
        <f aca="false">G23*$E$13</f>
        <v>9250.2776</v>
      </c>
      <c r="N23" s="204" t="n">
        <f aca="false">H23*$F$13</f>
        <v>7393.7078</v>
      </c>
      <c r="O23" s="204" t="n">
        <f aca="false">I23*$G$13</f>
        <v>8712.8495</v>
      </c>
      <c r="P23" s="232"/>
      <c r="Q23" s="195"/>
      <c r="R23" s="195"/>
      <c r="S23" s="195"/>
      <c r="T23" s="195"/>
      <c r="U23" s="195"/>
      <c r="V23" s="232"/>
      <c r="W23" s="206"/>
      <c r="X23" s="206"/>
      <c r="Y23" s="206"/>
      <c r="Z23" s="206"/>
      <c r="AA23" s="206"/>
      <c r="AB23" s="196"/>
      <c r="AC23" s="199"/>
      <c r="AD23" s="197"/>
      <c r="AE23" s="196"/>
      <c r="AF23" s="196"/>
      <c r="AG23" s="195"/>
      <c r="AH23" s="195"/>
      <c r="AI23" s="195"/>
    </row>
    <row r="24" s="176" customFormat="true" ht="13.5" hidden="false" customHeight="false" outlineLevel="0" collapsed="false">
      <c r="A24" s="204" t="s">
        <v>540</v>
      </c>
      <c r="B24" s="204" t="s">
        <v>534</v>
      </c>
      <c r="C24" s="204" t="s">
        <v>233</v>
      </c>
      <c r="D24" s="204" t="n">
        <v>8142.85</v>
      </c>
      <c r="E24" s="204" t="n">
        <v>8142.85</v>
      </c>
      <c r="F24" s="204" t="n">
        <v>8142.85</v>
      </c>
      <c r="G24" s="204" t="n">
        <v>8142.85</v>
      </c>
      <c r="H24" s="204" t="n">
        <v>8142.85</v>
      </c>
      <c r="I24" s="204" t="n">
        <v>8142.85</v>
      </c>
      <c r="J24" s="204" t="n">
        <f aca="false">D24*$B$13</f>
        <v>7304.13645</v>
      </c>
      <c r="K24" s="204" t="n">
        <f aca="false">E24*$C$13</f>
        <v>7751.9932</v>
      </c>
      <c r="L24" s="204" t="n">
        <f aca="false">F24*$D$13</f>
        <v>7898.5645</v>
      </c>
      <c r="M24" s="204" t="n">
        <f aca="false">G24*$E$13</f>
        <v>9250.2776</v>
      </c>
      <c r="N24" s="204" t="n">
        <f aca="false">H24*$F$13</f>
        <v>7393.7078</v>
      </c>
      <c r="O24" s="204" t="n">
        <f aca="false">I24*$G$13</f>
        <v>8712.8495</v>
      </c>
      <c r="P24" s="232"/>
      <c r="Q24" s="195"/>
      <c r="R24" s="195"/>
      <c r="S24" s="195"/>
      <c r="T24" s="195"/>
      <c r="U24" s="195"/>
      <c r="V24" s="232"/>
      <c r="W24" s="206"/>
      <c r="X24" s="206"/>
      <c r="Y24" s="206"/>
      <c r="Z24" s="206"/>
      <c r="AA24" s="206"/>
      <c r="AB24" s="196"/>
      <c r="AC24" s="199"/>
      <c r="AD24" s="197"/>
      <c r="AE24" s="196"/>
      <c r="AF24" s="196"/>
      <c r="AG24" s="195"/>
      <c r="AH24" s="195"/>
      <c r="AI24" s="195"/>
    </row>
    <row r="25" s="176" customFormat="true" ht="13.5" hidden="false" customHeight="false" outlineLevel="0" collapsed="false">
      <c r="A25" s="204"/>
      <c r="B25" s="204"/>
      <c r="C25" s="204" t="s">
        <v>233</v>
      </c>
      <c r="D25" s="204"/>
      <c r="E25" s="204"/>
      <c r="F25" s="204"/>
      <c r="G25" s="204"/>
      <c r="H25" s="204"/>
      <c r="I25" s="204"/>
      <c r="J25" s="204"/>
      <c r="K25" s="204"/>
      <c r="L25" s="204"/>
      <c r="M25" s="204"/>
      <c r="N25" s="204"/>
      <c r="O25" s="204"/>
      <c r="P25" s="232"/>
      <c r="Q25" s="195"/>
      <c r="R25" s="195"/>
      <c r="S25" s="195"/>
      <c r="T25" s="195"/>
      <c r="U25" s="195"/>
      <c r="V25" s="232"/>
      <c r="W25" s="206"/>
      <c r="X25" s="206"/>
      <c r="Y25" s="206"/>
      <c r="Z25" s="206"/>
      <c r="AA25" s="206"/>
      <c r="AB25" s="196"/>
      <c r="AC25" s="199"/>
      <c r="AD25" s="197"/>
      <c r="AE25" s="196"/>
      <c r="AF25" s="196"/>
      <c r="AG25" s="195"/>
      <c r="AH25" s="195"/>
      <c r="AI25" s="195"/>
    </row>
    <row r="26" s="176" customFormat="true" ht="13.5" hidden="false" customHeight="false" outlineLevel="0" collapsed="false">
      <c r="A26" s="204"/>
      <c r="B26" s="204"/>
      <c r="C26" s="204" t="s">
        <v>233</v>
      </c>
      <c r="D26" s="204"/>
      <c r="E26" s="204"/>
      <c r="F26" s="204"/>
      <c r="G26" s="204"/>
      <c r="H26" s="204"/>
      <c r="I26" s="204"/>
      <c r="J26" s="204"/>
      <c r="K26" s="204"/>
      <c r="L26" s="204"/>
      <c r="M26" s="204"/>
      <c r="N26" s="204"/>
      <c r="O26" s="204"/>
      <c r="P26" s="232"/>
      <c r="Q26" s="195"/>
      <c r="R26" s="195"/>
      <c r="S26" s="195"/>
      <c r="T26" s="195"/>
      <c r="U26" s="195"/>
      <c r="V26" s="232"/>
      <c r="W26" s="206"/>
      <c r="X26" s="206"/>
      <c r="Y26" s="206"/>
      <c r="Z26" s="206"/>
      <c r="AA26" s="206"/>
      <c r="AB26" s="196"/>
      <c r="AC26" s="199"/>
      <c r="AD26" s="197"/>
      <c r="AE26" s="196"/>
      <c r="AF26" s="196"/>
      <c r="AG26" s="195"/>
      <c r="AH26" s="195"/>
      <c r="AI26" s="195"/>
    </row>
    <row r="27" s="176" customFormat="true" ht="13.5" hidden="false" customHeight="false" outlineLevel="0" collapsed="false">
      <c r="A27" s="204"/>
      <c r="B27" s="204"/>
      <c r="C27" s="204" t="s">
        <v>233</v>
      </c>
      <c r="D27" s="204"/>
      <c r="E27" s="204"/>
      <c r="F27" s="204"/>
      <c r="G27" s="204"/>
      <c r="H27" s="204"/>
      <c r="I27" s="204"/>
      <c r="J27" s="204"/>
      <c r="K27" s="204"/>
      <c r="L27" s="204"/>
      <c r="M27" s="204"/>
      <c r="N27" s="204"/>
      <c r="O27" s="204"/>
      <c r="P27" s="232"/>
      <c r="Q27" s="195"/>
      <c r="R27" s="195"/>
      <c r="S27" s="195"/>
      <c r="T27" s="195"/>
      <c r="U27" s="195"/>
      <c r="V27" s="232"/>
      <c r="W27" s="206"/>
      <c r="X27" s="206"/>
      <c r="Y27" s="206"/>
      <c r="Z27" s="206"/>
      <c r="AA27" s="206"/>
      <c r="AB27" s="196"/>
      <c r="AC27" s="199"/>
      <c r="AD27" s="197"/>
      <c r="AE27" s="196"/>
      <c r="AF27" s="196"/>
      <c r="AG27" s="195"/>
      <c r="AH27" s="195"/>
      <c r="AI27" s="195"/>
    </row>
    <row r="28" s="176" customFormat="true" ht="13.5" hidden="false" customHeight="false" outlineLevel="0" collapsed="false">
      <c r="A28" s="204"/>
      <c r="B28" s="204"/>
      <c r="C28" s="204" t="s">
        <v>233</v>
      </c>
      <c r="D28" s="204"/>
      <c r="E28" s="204"/>
      <c r="F28" s="204"/>
      <c r="G28" s="204"/>
      <c r="H28" s="204"/>
      <c r="I28" s="204"/>
      <c r="J28" s="204"/>
      <c r="K28" s="204"/>
      <c r="L28" s="204"/>
      <c r="M28" s="204"/>
      <c r="N28" s="204"/>
      <c r="O28" s="204"/>
      <c r="P28" s="232"/>
      <c r="Q28" s="195"/>
      <c r="R28" s="195"/>
      <c r="S28" s="195"/>
      <c r="T28" s="195"/>
      <c r="U28" s="195"/>
      <c r="V28" s="232"/>
      <c r="W28" s="206"/>
      <c r="X28" s="206"/>
      <c r="Y28" s="206"/>
      <c r="Z28" s="206"/>
      <c r="AA28" s="206"/>
      <c r="AB28" s="196"/>
      <c r="AC28" s="199"/>
      <c r="AD28" s="197"/>
      <c r="AE28" s="196"/>
      <c r="AF28" s="196"/>
      <c r="AG28" s="195"/>
      <c r="AH28" s="195"/>
      <c r="AI28" s="195"/>
    </row>
    <row r="29" s="176" customFormat="true" ht="13.5" hidden="false" customHeight="false" outlineLevel="0" collapsed="false">
      <c r="A29" s="204"/>
      <c r="B29" s="204"/>
      <c r="C29" s="204" t="s">
        <v>233</v>
      </c>
      <c r="D29" s="204"/>
      <c r="E29" s="204"/>
      <c r="F29" s="204"/>
      <c r="G29" s="204"/>
      <c r="H29" s="204"/>
      <c r="I29" s="204"/>
      <c r="J29" s="204"/>
      <c r="K29" s="204"/>
      <c r="L29" s="204"/>
      <c r="M29" s="204"/>
      <c r="N29" s="204"/>
      <c r="O29" s="204"/>
      <c r="P29" s="232"/>
      <c r="Q29" s="195"/>
      <c r="R29" s="195"/>
      <c r="S29" s="195"/>
      <c r="T29" s="195"/>
      <c r="U29" s="195"/>
      <c r="V29" s="232"/>
      <c r="W29" s="206"/>
      <c r="X29" s="206"/>
      <c r="Y29" s="206"/>
      <c r="Z29" s="206"/>
      <c r="AA29" s="206"/>
      <c r="AB29" s="196"/>
      <c r="AC29" s="199"/>
      <c r="AD29" s="197"/>
      <c r="AE29" s="196"/>
      <c r="AF29" s="196"/>
      <c r="AG29" s="195"/>
      <c r="AH29" s="195"/>
      <c r="AI29" s="195"/>
    </row>
    <row r="30" s="176" customFormat="true" ht="13.5" hidden="false" customHeight="false" outlineLevel="0" collapsed="false">
      <c r="A30" s="204"/>
      <c r="B30" s="204"/>
      <c r="C30" s="204" t="s">
        <v>233</v>
      </c>
      <c r="D30" s="204"/>
      <c r="E30" s="204"/>
      <c r="F30" s="204"/>
      <c r="G30" s="204"/>
      <c r="H30" s="204"/>
      <c r="I30" s="204"/>
      <c r="J30" s="204"/>
      <c r="K30" s="204"/>
      <c r="L30" s="204"/>
      <c r="M30" s="204"/>
      <c r="N30" s="204"/>
      <c r="O30" s="204"/>
      <c r="P30" s="232"/>
      <c r="Q30" s="195"/>
      <c r="R30" s="195"/>
      <c r="S30" s="195"/>
      <c r="T30" s="195"/>
      <c r="U30" s="195"/>
      <c r="V30" s="232"/>
      <c r="W30" s="206"/>
      <c r="X30" s="206"/>
      <c r="Y30" s="206"/>
      <c r="Z30" s="206"/>
      <c r="AA30" s="206"/>
      <c r="AB30" s="196"/>
      <c r="AC30" s="199"/>
      <c r="AD30" s="197"/>
      <c r="AE30" s="196"/>
      <c r="AF30" s="196"/>
      <c r="AG30" s="195"/>
      <c r="AH30" s="195"/>
      <c r="AI30" s="195"/>
    </row>
    <row r="31" s="176" customFormat="true" ht="13.5" hidden="false" customHeight="false" outlineLevel="0" collapsed="false">
      <c r="A31" s="204"/>
      <c r="B31" s="204"/>
      <c r="C31" s="204" t="s">
        <v>233</v>
      </c>
      <c r="D31" s="204"/>
      <c r="E31" s="204"/>
      <c r="F31" s="204"/>
      <c r="G31" s="204"/>
      <c r="H31" s="204"/>
      <c r="I31" s="204"/>
      <c r="J31" s="204"/>
      <c r="K31" s="204"/>
      <c r="L31" s="204"/>
      <c r="M31" s="204"/>
      <c r="N31" s="204"/>
      <c r="O31" s="204"/>
      <c r="P31" s="232"/>
      <c r="Q31" s="195"/>
      <c r="R31" s="195"/>
      <c r="S31" s="195"/>
      <c r="T31" s="195"/>
      <c r="U31" s="195"/>
      <c r="V31" s="232"/>
      <c r="W31" s="206"/>
      <c r="X31" s="206"/>
      <c r="Y31" s="206"/>
      <c r="Z31" s="206"/>
      <c r="AA31" s="206"/>
      <c r="AB31" s="196"/>
      <c r="AC31" s="199"/>
      <c r="AD31" s="197"/>
      <c r="AE31" s="196"/>
      <c r="AF31" s="196"/>
      <c r="AG31" s="195"/>
      <c r="AH31" s="195"/>
      <c r="AI31" s="195"/>
    </row>
    <row r="32" s="176" customFormat="true" ht="13.5" hidden="false" customHeight="false" outlineLevel="0" collapsed="false">
      <c r="A32" s="204"/>
      <c r="B32" s="204"/>
      <c r="C32" s="204" t="s">
        <v>233</v>
      </c>
      <c r="D32" s="204"/>
      <c r="E32" s="204"/>
      <c r="F32" s="204"/>
      <c r="G32" s="204"/>
      <c r="H32" s="204"/>
      <c r="I32" s="204"/>
      <c r="J32" s="204"/>
      <c r="K32" s="204"/>
      <c r="L32" s="204"/>
      <c r="M32" s="204"/>
      <c r="N32" s="204"/>
      <c r="O32" s="204"/>
      <c r="P32" s="232"/>
      <c r="Q32" s="195"/>
      <c r="R32" s="195"/>
      <c r="S32" s="195"/>
      <c r="T32" s="195"/>
      <c r="U32" s="195"/>
      <c r="V32" s="232"/>
      <c r="W32" s="206"/>
      <c r="X32" s="206"/>
      <c r="Y32" s="206"/>
      <c r="Z32" s="206"/>
      <c r="AA32" s="206"/>
      <c r="AB32" s="196"/>
      <c r="AC32" s="199"/>
      <c r="AD32" s="197"/>
      <c r="AE32" s="196"/>
      <c r="AF32" s="196"/>
      <c r="AG32" s="195"/>
      <c r="AH32" s="195"/>
      <c r="AI32" s="195"/>
    </row>
    <row r="33" s="176" customFormat="true" ht="13.5" hidden="false" customHeight="false" outlineLevel="0" collapsed="false">
      <c r="A33" s="204"/>
      <c r="B33" s="204"/>
      <c r="C33" s="204" t="s">
        <v>233</v>
      </c>
      <c r="D33" s="204"/>
      <c r="E33" s="204"/>
      <c r="F33" s="204"/>
      <c r="G33" s="204"/>
      <c r="H33" s="204"/>
      <c r="I33" s="204"/>
      <c r="J33" s="204"/>
      <c r="K33" s="204"/>
      <c r="L33" s="204"/>
      <c r="M33" s="204"/>
      <c r="N33" s="204"/>
      <c r="O33" s="204"/>
      <c r="P33" s="232"/>
      <c r="Q33" s="195"/>
      <c r="R33" s="195"/>
      <c r="S33" s="195"/>
      <c r="T33" s="195"/>
      <c r="U33" s="195"/>
      <c r="V33" s="232"/>
      <c r="W33" s="206"/>
      <c r="X33" s="206"/>
      <c r="Y33" s="206"/>
      <c r="Z33" s="206"/>
      <c r="AA33" s="206"/>
      <c r="AB33" s="196"/>
      <c r="AC33" s="199"/>
      <c r="AD33" s="197"/>
      <c r="AE33" s="196"/>
      <c r="AF33" s="196"/>
      <c r="AG33" s="195"/>
      <c r="AH33" s="195"/>
      <c r="AI33" s="195"/>
    </row>
    <row r="34" s="176" customFormat="true" ht="13.5" hidden="false" customHeight="false" outlineLevel="0" collapsed="false">
      <c r="A34" s="204"/>
      <c r="B34" s="204"/>
      <c r="C34" s="204" t="s">
        <v>233</v>
      </c>
      <c r="D34" s="204"/>
      <c r="E34" s="204"/>
      <c r="F34" s="204"/>
      <c r="G34" s="204"/>
      <c r="H34" s="204"/>
      <c r="I34" s="204"/>
      <c r="J34" s="204"/>
      <c r="K34" s="204"/>
      <c r="L34" s="204"/>
      <c r="M34" s="204"/>
      <c r="N34" s="204"/>
      <c r="O34" s="204"/>
      <c r="P34" s="232"/>
      <c r="Q34" s="195"/>
      <c r="R34" s="195"/>
      <c r="S34" s="195"/>
      <c r="T34" s="195"/>
      <c r="U34" s="195"/>
      <c r="V34" s="232"/>
      <c r="W34" s="206"/>
      <c r="X34" s="206"/>
      <c r="Y34" s="206"/>
      <c r="Z34" s="206"/>
      <c r="AA34" s="206"/>
      <c r="AB34" s="196"/>
      <c r="AC34" s="199"/>
      <c r="AD34" s="197"/>
      <c r="AE34" s="196"/>
      <c r="AF34" s="196"/>
      <c r="AG34" s="195"/>
      <c r="AH34" s="195"/>
      <c r="AI34" s="195"/>
    </row>
    <row r="35" s="176" customFormat="true" ht="13.5" hidden="false" customHeight="false" outlineLevel="0" collapsed="false">
      <c r="A35" s="204"/>
      <c r="B35" s="204"/>
      <c r="C35" s="204" t="s">
        <v>233</v>
      </c>
      <c r="D35" s="204"/>
      <c r="E35" s="204"/>
      <c r="F35" s="204"/>
      <c r="G35" s="204"/>
      <c r="H35" s="204"/>
      <c r="I35" s="204"/>
      <c r="J35" s="204"/>
      <c r="K35" s="204"/>
      <c r="L35" s="204"/>
      <c r="M35" s="204"/>
      <c r="N35" s="204"/>
      <c r="O35" s="204"/>
      <c r="P35" s="232"/>
      <c r="Q35" s="195"/>
      <c r="R35" s="195"/>
      <c r="S35" s="195"/>
      <c r="T35" s="195"/>
      <c r="U35" s="195"/>
      <c r="V35" s="232"/>
      <c r="W35" s="206"/>
      <c r="X35" s="206"/>
      <c r="Y35" s="206"/>
      <c r="Z35" s="206"/>
      <c r="AA35" s="206"/>
      <c r="AB35" s="196"/>
      <c r="AC35" s="199"/>
      <c r="AD35" s="197"/>
      <c r="AE35" s="196"/>
      <c r="AF35" s="196"/>
      <c r="AG35" s="195"/>
      <c r="AH35" s="195"/>
      <c r="AI35" s="195"/>
    </row>
    <row r="36" s="176" customFormat="true" ht="13.5" hidden="false" customHeight="false" outlineLevel="0" collapsed="false">
      <c r="A36" s="204"/>
      <c r="B36" s="204"/>
      <c r="C36" s="204" t="s">
        <v>233</v>
      </c>
      <c r="D36" s="204"/>
      <c r="E36" s="204"/>
      <c r="F36" s="204"/>
      <c r="G36" s="204"/>
      <c r="H36" s="204"/>
      <c r="I36" s="204"/>
      <c r="J36" s="204"/>
      <c r="K36" s="204"/>
      <c r="L36" s="204"/>
      <c r="M36" s="204"/>
      <c r="N36" s="204"/>
      <c r="O36" s="204"/>
      <c r="P36" s="232"/>
      <c r="Q36" s="195"/>
      <c r="R36" s="195"/>
      <c r="S36" s="195"/>
      <c r="T36" s="195"/>
      <c r="U36" s="195"/>
      <c r="V36" s="232"/>
      <c r="W36" s="206"/>
      <c r="X36" s="206"/>
      <c r="Y36" s="206"/>
      <c r="Z36" s="206"/>
      <c r="AA36" s="206"/>
      <c r="AB36" s="196"/>
      <c r="AC36" s="199"/>
      <c r="AD36" s="197"/>
      <c r="AE36" s="196"/>
      <c r="AF36" s="196"/>
      <c r="AG36" s="195"/>
      <c r="AH36" s="195"/>
      <c r="AI36" s="195"/>
    </row>
    <row r="37" s="176" customFormat="true" ht="13.5" hidden="false" customHeight="false" outlineLevel="0" collapsed="false">
      <c r="A37" s="204"/>
      <c r="B37" s="204"/>
      <c r="C37" s="204" t="s">
        <v>233</v>
      </c>
      <c r="D37" s="204"/>
      <c r="E37" s="204"/>
      <c r="F37" s="204"/>
      <c r="G37" s="204"/>
      <c r="H37" s="204"/>
      <c r="I37" s="204"/>
      <c r="J37" s="204"/>
      <c r="K37" s="204"/>
      <c r="L37" s="204"/>
      <c r="M37" s="204"/>
      <c r="N37" s="204"/>
      <c r="O37" s="204"/>
      <c r="P37" s="232"/>
      <c r="Q37" s="195"/>
      <c r="R37" s="195"/>
      <c r="S37" s="195"/>
      <c r="T37" s="195"/>
      <c r="U37" s="195"/>
      <c r="V37" s="232"/>
      <c r="W37" s="206"/>
      <c r="X37" s="206"/>
      <c r="Y37" s="206"/>
      <c r="Z37" s="206"/>
      <c r="AA37" s="206"/>
      <c r="AB37" s="196"/>
      <c r="AC37" s="199"/>
      <c r="AD37" s="197"/>
      <c r="AE37" s="196"/>
      <c r="AF37" s="196"/>
      <c r="AG37" s="195"/>
      <c r="AH37" s="195"/>
      <c r="AI37" s="195"/>
    </row>
    <row r="38" s="176" customFormat="true" ht="13.5" hidden="false" customHeight="false" outlineLevel="0" collapsed="false">
      <c r="A38" s="204"/>
      <c r="B38" s="204"/>
      <c r="C38" s="204" t="s">
        <v>233</v>
      </c>
      <c r="D38" s="204"/>
      <c r="E38" s="204"/>
      <c r="F38" s="204"/>
      <c r="G38" s="204"/>
      <c r="H38" s="204"/>
      <c r="I38" s="204"/>
      <c r="J38" s="204"/>
      <c r="K38" s="204"/>
      <c r="L38" s="204"/>
      <c r="M38" s="204"/>
      <c r="N38" s="204"/>
      <c r="O38" s="204"/>
      <c r="P38" s="232"/>
      <c r="Q38" s="195"/>
      <c r="R38" s="195"/>
      <c r="S38" s="195"/>
      <c r="T38" s="195"/>
      <c r="U38" s="195"/>
      <c r="V38" s="232"/>
      <c r="W38" s="206"/>
      <c r="X38" s="206"/>
      <c r="Y38" s="206"/>
      <c r="Z38" s="206"/>
      <c r="AA38" s="206"/>
      <c r="AB38" s="196"/>
      <c r="AC38" s="199"/>
      <c r="AD38" s="197"/>
      <c r="AE38" s="196"/>
      <c r="AF38" s="196"/>
      <c r="AG38" s="195"/>
      <c r="AH38" s="195"/>
      <c r="AI38" s="195"/>
    </row>
    <row r="39" s="176" customFormat="true" ht="13.5" hidden="false" customHeight="false" outlineLevel="0" collapsed="false">
      <c r="A39" s="204"/>
      <c r="B39" s="204"/>
      <c r="C39" s="204" t="s">
        <v>233</v>
      </c>
      <c r="D39" s="204"/>
      <c r="E39" s="204"/>
      <c r="F39" s="204"/>
      <c r="G39" s="204"/>
      <c r="H39" s="204"/>
      <c r="I39" s="204"/>
      <c r="J39" s="204"/>
      <c r="K39" s="204"/>
      <c r="L39" s="204"/>
      <c r="M39" s="204"/>
      <c r="N39" s="204"/>
      <c r="O39" s="204"/>
      <c r="P39" s="232"/>
      <c r="Q39" s="195"/>
      <c r="R39" s="195"/>
      <c r="S39" s="195"/>
      <c r="T39" s="195"/>
      <c r="U39" s="195"/>
      <c r="V39" s="232"/>
      <c r="W39" s="206"/>
      <c r="X39" s="206"/>
      <c r="Y39" s="206"/>
      <c r="Z39" s="206"/>
      <c r="AA39" s="206"/>
      <c r="AB39" s="196"/>
      <c r="AC39" s="199"/>
      <c r="AD39" s="197"/>
      <c r="AE39" s="196"/>
      <c r="AF39" s="196"/>
      <c r="AG39" s="195"/>
      <c r="AH39" s="195"/>
      <c r="AI39" s="195"/>
    </row>
    <row r="40" s="176" customFormat="true" ht="13.5" hidden="false" customHeight="false" outlineLevel="0" collapsed="false">
      <c r="A40" s="204"/>
      <c r="B40" s="204"/>
      <c r="C40" s="204" t="s">
        <v>233</v>
      </c>
      <c r="D40" s="204"/>
      <c r="E40" s="204"/>
      <c r="F40" s="204"/>
      <c r="G40" s="204"/>
      <c r="H40" s="204"/>
      <c r="I40" s="204"/>
      <c r="J40" s="204"/>
      <c r="K40" s="204"/>
      <c r="L40" s="204"/>
      <c r="M40" s="204"/>
      <c r="N40" s="204"/>
      <c r="O40" s="204"/>
      <c r="P40" s="232"/>
      <c r="Q40" s="195"/>
      <c r="R40" s="195"/>
      <c r="S40" s="195"/>
      <c r="T40" s="195"/>
      <c r="U40" s="195"/>
      <c r="V40" s="232"/>
      <c r="W40" s="206"/>
      <c r="X40" s="206"/>
      <c r="Y40" s="206"/>
      <c r="Z40" s="206"/>
      <c r="AA40" s="206"/>
      <c r="AB40" s="196"/>
      <c r="AC40" s="199"/>
      <c r="AD40" s="197"/>
      <c r="AE40" s="196"/>
      <c r="AF40" s="196"/>
      <c r="AG40" s="195"/>
      <c r="AH40" s="195"/>
      <c r="AI40" s="195"/>
    </row>
    <row r="41" s="176" customFormat="true" ht="13.5" hidden="false" customHeight="false" outlineLevel="0" collapsed="false">
      <c r="A41" s="204"/>
      <c r="B41" s="204"/>
      <c r="C41" s="204" t="s">
        <v>233</v>
      </c>
      <c r="D41" s="204"/>
      <c r="E41" s="204"/>
      <c r="F41" s="204"/>
      <c r="G41" s="204"/>
      <c r="H41" s="204"/>
      <c r="I41" s="204"/>
      <c r="J41" s="204"/>
      <c r="K41" s="204"/>
      <c r="L41" s="204"/>
      <c r="M41" s="204"/>
      <c r="N41" s="204"/>
      <c r="O41" s="204"/>
      <c r="P41" s="232"/>
      <c r="Q41" s="195"/>
      <c r="R41" s="195"/>
      <c r="S41" s="195"/>
      <c r="T41" s="195"/>
      <c r="U41" s="195"/>
      <c r="V41" s="232"/>
      <c r="W41" s="206"/>
      <c r="X41" s="206"/>
      <c r="Y41" s="206"/>
      <c r="Z41" s="206"/>
      <c r="AA41" s="206"/>
      <c r="AB41" s="196"/>
      <c r="AC41" s="199"/>
      <c r="AD41" s="197"/>
      <c r="AE41" s="196"/>
      <c r="AF41" s="196"/>
      <c r="AG41" s="195"/>
      <c r="AH41" s="195"/>
      <c r="AI41" s="195"/>
    </row>
    <row r="42" s="176" customFormat="true" ht="13.5" hidden="false" customHeight="false" outlineLevel="0" collapsed="false">
      <c r="A42" s="204"/>
      <c r="B42" s="204"/>
      <c r="C42" s="204" t="s">
        <v>233</v>
      </c>
      <c r="D42" s="204"/>
      <c r="E42" s="204"/>
      <c r="F42" s="204"/>
      <c r="G42" s="204"/>
      <c r="H42" s="204"/>
      <c r="I42" s="204"/>
      <c r="J42" s="204"/>
      <c r="K42" s="204"/>
      <c r="L42" s="204"/>
      <c r="M42" s="204"/>
      <c r="N42" s="204"/>
      <c r="O42" s="204"/>
      <c r="P42" s="232"/>
      <c r="Q42" s="195"/>
      <c r="R42" s="195"/>
      <c r="S42" s="195"/>
      <c r="T42" s="195"/>
      <c r="U42" s="195"/>
      <c r="V42" s="232"/>
      <c r="W42" s="206"/>
      <c r="X42" s="206"/>
      <c r="Y42" s="206"/>
      <c r="Z42" s="206"/>
      <c r="AA42" s="206"/>
      <c r="AB42" s="196"/>
      <c r="AC42" s="199"/>
      <c r="AD42" s="197"/>
      <c r="AE42" s="196"/>
      <c r="AF42" s="196"/>
      <c r="AG42" s="195"/>
      <c r="AH42" s="195"/>
      <c r="AI42" s="195"/>
    </row>
    <row r="43" customFormat="false" ht="13.5" hidden="false" customHeight="false" outlineLevel="0" collapsed="false">
      <c r="A43" s="257" t="s">
        <v>272</v>
      </c>
      <c r="B43" s="257"/>
      <c r="C43" s="257"/>
      <c r="D43" s="262" t="n">
        <f aca="false">SUM(D18:D42)</f>
        <v>56999.95</v>
      </c>
      <c r="E43" s="262" t="n">
        <f aca="false">SUM(E18:E42)</f>
        <v>56999.95</v>
      </c>
      <c r="F43" s="262" t="n">
        <f aca="false">SUM(F18:F42)</f>
        <v>56999.95</v>
      </c>
      <c r="G43" s="262" t="n">
        <f aca="false">SUM(G18:G42)</f>
        <v>56999.95</v>
      </c>
      <c r="H43" s="262" t="n">
        <f aca="false">SUM(H18:H42)</f>
        <v>56999.95</v>
      </c>
      <c r="I43" s="262" t="n">
        <f aca="false">SUM(I18:I42)</f>
        <v>56999.95</v>
      </c>
      <c r="J43" s="262" t="n">
        <f aca="false">SUM(J18:J42)</f>
        <v>51128.95515</v>
      </c>
      <c r="K43" s="262" t="n">
        <f aca="false">SUM(K18:K42)</f>
        <v>54263.9524</v>
      </c>
      <c r="L43" s="262" t="n">
        <f aca="false">SUM(L18:L42)</f>
        <v>55289.9515</v>
      </c>
      <c r="M43" s="262" t="n">
        <f aca="false">SUM(M18:M42)</f>
        <v>64751.9432</v>
      </c>
      <c r="N43" s="262" t="n">
        <f aca="false">SUM(N18:N42)</f>
        <v>51755.9546</v>
      </c>
      <c r="O43" s="262" t="n">
        <f aca="false">SUM(O18:O42)</f>
        <v>60989.9465</v>
      </c>
    </row>
    <row r="45" customFormat="false" ht="13.5" hidden="false" customHeight="false" outlineLevel="0" collapsed="false">
      <c r="A45" s="194"/>
      <c r="B45" s="176"/>
      <c r="C45" s="176"/>
      <c r="D45" s="182" t="s">
        <v>524</v>
      </c>
      <c r="E45" s="182"/>
      <c r="F45" s="182"/>
      <c r="G45" s="182"/>
      <c r="H45" s="182"/>
      <c r="I45" s="182"/>
    </row>
    <row r="46" customFormat="false" ht="25.5" hidden="false" customHeight="false" outlineLevel="0" collapsed="false">
      <c r="A46" s="190" t="s">
        <v>495</v>
      </c>
      <c r="B46" s="190" t="s">
        <v>496</v>
      </c>
      <c r="C46" s="190" t="s">
        <v>497</v>
      </c>
      <c r="D46" s="190" t="n">
        <f aca="false">D17</f>
        <v>2005</v>
      </c>
      <c r="E46" s="190" t="n">
        <f aca="false">E17</f>
        <v>2006</v>
      </c>
      <c r="F46" s="190" t="n">
        <f aca="false">F17</f>
        <v>2007</v>
      </c>
      <c r="G46" s="190" t="n">
        <f aca="false">G17</f>
        <v>2008</v>
      </c>
      <c r="H46" s="190" t="n">
        <f aca="false">H17</f>
        <v>2009</v>
      </c>
      <c r="I46" s="190" t="n">
        <f aca="false">I17</f>
        <v>2010</v>
      </c>
    </row>
    <row r="47" customFormat="false" ht="13.5" hidden="false" customHeight="false" outlineLevel="0" collapsed="false">
      <c r="A47" s="181" t="str">
        <f aca="false">A18</f>
        <v>Barredora 1</v>
      </c>
      <c r="B47" s="181" t="str">
        <f aca="false">B18</f>
        <v>Recollida residus</v>
      </c>
      <c r="C47" s="181" t="str">
        <f aca="false">C18</f>
        <v>gasoil</v>
      </c>
      <c r="D47" s="261" t="n">
        <f aca="false">D18*'0.DADES'!$E$65</f>
        <v>82430.07055</v>
      </c>
      <c r="E47" s="261" t="n">
        <f aca="false">E18*'0.DADES'!$E$65</f>
        <v>82430.07055</v>
      </c>
      <c r="F47" s="261" t="n">
        <f aca="false">F18*'0.DADES'!$E$65</f>
        <v>82430.07055</v>
      </c>
      <c r="G47" s="261" t="n">
        <f aca="false">G18*'0.DADES'!$E$65</f>
        <v>82430.07055</v>
      </c>
      <c r="H47" s="261" t="n">
        <f aca="false">H18*'0.DADES'!$E$65</f>
        <v>82430.07055</v>
      </c>
      <c r="I47" s="261" t="n">
        <f aca="false">I18*'0.DADES'!$E$65</f>
        <v>82430.07055</v>
      </c>
    </row>
    <row r="48" customFormat="false" ht="13.5" hidden="false" customHeight="false" outlineLevel="0" collapsed="false">
      <c r="A48" s="181" t="str">
        <f aca="false">A19</f>
        <v>Barredora 2</v>
      </c>
      <c r="B48" s="181" t="str">
        <f aca="false">B19</f>
        <v>Recollida residus</v>
      </c>
      <c r="C48" s="181" t="str">
        <f aca="false">C19</f>
        <v>gasoil</v>
      </c>
      <c r="D48" s="261" t="n">
        <f aca="false">D19*'0.DADES'!$E$65</f>
        <v>82430.07055</v>
      </c>
      <c r="E48" s="261" t="n">
        <f aca="false">E19*'0.DADES'!$E$65</f>
        <v>82430.07055</v>
      </c>
      <c r="F48" s="261" t="n">
        <f aca="false">F19*'0.DADES'!$E$65</f>
        <v>82430.07055</v>
      </c>
      <c r="G48" s="261" t="n">
        <f aca="false">G19*'0.DADES'!$E$65</f>
        <v>82430.07055</v>
      </c>
      <c r="H48" s="261" t="n">
        <f aca="false">H19*'0.DADES'!$E$65</f>
        <v>82430.07055</v>
      </c>
      <c r="I48" s="261" t="n">
        <f aca="false">I19*'0.DADES'!$E$65</f>
        <v>82430.07055</v>
      </c>
    </row>
    <row r="49" customFormat="false" ht="13.5" hidden="false" customHeight="false" outlineLevel="0" collapsed="false">
      <c r="A49" s="181" t="str">
        <f aca="false">A20</f>
        <v>Camió recolector 1</v>
      </c>
      <c r="B49" s="181" t="str">
        <f aca="false">B20</f>
        <v>Recollida residus</v>
      </c>
      <c r="C49" s="181" t="str">
        <f aca="false">C20</f>
        <v>gasoil</v>
      </c>
      <c r="D49" s="261" t="n">
        <f aca="false">D20*'0.DADES'!$E$65</f>
        <v>82430.07055</v>
      </c>
      <c r="E49" s="261" t="n">
        <f aca="false">E20*'0.DADES'!$E$65</f>
        <v>82430.07055</v>
      </c>
      <c r="F49" s="261" t="n">
        <f aca="false">F20*'0.DADES'!$E$65</f>
        <v>82430.07055</v>
      </c>
      <c r="G49" s="261" t="n">
        <f aca="false">G20*'0.DADES'!$E$65</f>
        <v>82430.07055</v>
      </c>
      <c r="H49" s="261" t="n">
        <f aca="false">H20*'0.DADES'!$E$65</f>
        <v>82430.07055</v>
      </c>
      <c r="I49" s="261" t="n">
        <f aca="false">I20*'0.DADES'!$E$65</f>
        <v>82430.07055</v>
      </c>
    </row>
    <row r="50" customFormat="false" ht="13.5" hidden="false" customHeight="false" outlineLevel="0" collapsed="false">
      <c r="A50" s="181" t="str">
        <f aca="false">A21</f>
        <v>Camió recolector 2</v>
      </c>
      <c r="B50" s="181" t="str">
        <f aca="false">B21</f>
        <v>Recollida residus</v>
      </c>
      <c r="C50" s="181" t="str">
        <f aca="false">C21</f>
        <v>gasoil</v>
      </c>
      <c r="D50" s="261" t="n">
        <f aca="false">D21*'0.DADES'!$E$65</f>
        <v>82430.07055</v>
      </c>
      <c r="E50" s="261" t="n">
        <f aca="false">E21*'0.DADES'!$E$65</f>
        <v>82430.07055</v>
      </c>
      <c r="F50" s="261" t="n">
        <f aca="false">F21*'0.DADES'!$E$65</f>
        <v>82430.07055</v>
      </c>
      <c r="G50" s="261" t="n">
        <f aca="false">G21*'0.DADES'!$E$65</f>
        <v>82430.07055</v>
      </c>
      <c r="H50" s="261" t="n">
        <f aca="false">H21*'0.DADES'!$E$65</f>
        <v>82430.07055</v>
      </c>
      <c r="I50" s="261" t="n">
        <f aca="false">I21*'0.DADES'!$E$65</f>
        <v>82430.07055</v>
      </c>
    </row>
    <row r="51" customFormat="false" ht="13.5" hidden="false" customHeight="false" outlineLevel="0" collapsed="false">
      <c r="A51" s="181" t="str">
        <f aca="false">A22</f>
        <v>Camió recolector 3</v>
      </c>
      <c r="B51" s="181" t="str">
        <f aca="false">B22</f>
        <v>Recollida residus</v>
      </c>
      <c r="C51" s="181" t="str">
        <f aca="false">C22</f>
        <v>gasoil</v>
      </c>
      <c r="D51" s="261" t="n">
        <f aca="false">D22*'0.DADES'!$E$65</f>
        <v>82430.07055</v>
      </c>
      <c r="E51" s="261" t="n">
        <f aca="false">E22*'0.DADES'!$E$65</f>
        <v>82430.07055</v>
      </c>
      <c r="F51" s="261" t="n">
        <f aca="false">F22*'0.DADES'!$E$65</f>
        <v>82430.07055</v>
      </c>
      <c r="G51" s="261" t="n">
        <f aca="false">G22*'0.DADES'!$E$65</f>
        <v>82430.07055</v>
      </c>
      <c r="H51" s="261" t="n">
        <f aca="false">H22*'0.DADES'!$E$65</f>
        <v>82430.07055</v>
      </c>
      <c r="I51" s="261" t="n">
        <f aca="false">I22*'0.DADES'!$E$65</f>
        <v>82430.07055</v>
      </c>
    </row>
    <row r="52" customFormat="false" ht="13.5" hidden="false" customHeight="false" outlineLevel="0" collapsed="false">
      <c r="A52" s="181" t="str">
        <f aca="false">A23</f>
        <v>Furgoneta 1</v>
      </c>
      <c r="B52" s="181" t="str">
        <f aca="false">B23</f>
        <v>Recollida residus</v>
      </c>
      <c r="C52" s="181" t="str">
        <f aca="false">C23</f>
        <v>gasoil</v>
      </c>
      <c r="D52" s="261" t="n">
        <f aca="false">D23*'0.DADES'!$E$65</f>
        <v>82430.07055</v>
      </c>
      <c r="E52" s="261" t="n">
        <f aca="false">E23*'0.DADES'!$E$65</f>
        <v>82430.07055</v>
      </c>
      <c r="F52" s="261" t="n">
        <f aca="false">F23*'0.DADES'!$E$65</f>
        <v>82430.07055</v>
      </c>
      <c r="G52" s="261" t="n">
        <f aca="false">G23*'0.DADES'!$E$65</f>
        <v>82430.07055</v>
      </c>
      <c r="H52" s="261" t="n">
        <f aca="false">H23*'0.DADES'!$E$65</f>
        <v>82430.07055</v>
      </c>
      <c r="I52" s="261" t="n">
        <f aca="false">I23*'0.DADES'!$E$65</f>
        <v>82430.07055</v>
      </c>
    </row>
    <row r="53" customFormat="false" ht="13.5" hidden="false" customHeight="false" outlineLevel="0" collapsed="false">
      <c r="A53" s="181" t="str">
        <f aca="false">A24</f>
        <v>Furgoneta 2</v>
      </c>
      <c r="B53" s="181" t="str">
        <f aca="false">B24</f>
        <v>Recollida residus</v>
      </c>
      <c r="C53" s="181" t="str">
        <f aca="false">C24</f>
        <v>gasoil</v>
      </c>
      <c r="D53" s="261" t="n">
        <f aca="false">D24*'0.DADES'!$E$65</f>
        <v>82430.07055</v>
      </c>
      <c r="E53" s="261" t="n">
        <f aca="false">E24*'0.DADES'!$E$65</f>
        <v>82430.07055</v>
      </c>
      <c r="F53" s="261" t="n">
        <f aca="false">F24*'0.DADES'!$E$65</f>
        <v>82430.07055</v>
      </c>
      <c r="G53" s="261" t="n">
        <f aca="false">G24*'0.DADES'!$E$65</f>
        <v>82430.07055</v>
      </c>
      <c r="H53" s="261" t="n">
        <f aca="false">H24*'0.DADES'!$E$65</f>
        <v>82430.07055</v>
      </c>
      <c r="I53" s="261" t="n">
        <f aca="false">I24*'0.DADES'!$E$65</f>
        <v>82430.07055</v>
      </c>
    </row>
    <row r="54" customFormat="false" ht="13.5" hidden="false" customHeight="false" outlineLevel="0" collapsed="false">
      <c r="A54" s="181" t="n">
        <f aca="false">A25</f>
        <v>0</v>
      </c>
      <c r="B54" s="181" t="n">
        <f aca="false">B25</f>
        <v>0</v>
      </c>
      <c r="C54" s="181" t="str">
        <f aca="false">C25</f>
        <v>gasoil</v>
      </c>
      <c r="D54" s="261" t="n">
        <f aca="false">D25*'0.DADES'!$E$65</f>
        <v>0</v>
      </c>
      <c r="E54" s="261" t="n">
        <f aca="false">E25*'0.DADES'!$E$65</f>
        <v>0</v>
      </c>
      <c r="F54" s="261" t="n">
        <f aca="false">F25*'0.DADES'!$E$65</f>
        <v>0</v>
      </c>
      <c r="G54" s="261" t="n">
        <f aca="false">G25*'0.DADES'!$E$65</f>
        <v>0</v>
      </c>
      <c r="H54" s="261" t="n">
        <f aca="false">H25*'0.DADES'!$E$65</f>
        <v>0</v>
      </c>
      <c r="I54" s="261" t="n">
        <f aca="false">I25*'0.DADES'!$E$65</f>
        <v>0</v>
      </c>
    </row>
    <row r="55" customFormat="false" ht="13.5" hidden="false" customHeight="false" outlineLevel="0" collapsed="false">
      <c r="A55" s="181" t="n">
        <f aca="false">A26</f>
        <v>0</v>
      </c>
      <c r="B55" s="181" t="n">
        <f aca="false">B26</f>
        <v>0</v>
      </c>
      <c r="C55" s="181" t="str">
        <f aca="false">C26</f>
        <v>gasoil</v>
      </c>
      <c r="D55" s="261" t="n">
        <f aca="false">D26*'0.DADES'!$E$65</f>
        <v>0</v>
      </c>
      <c r="E55" s="261" t="n">
        <f aca="false">E26*'0.DADES'!$E$65</f>
        <v>0</v>
      </c>
      <c r="F55" s="261" t="n">
        <f aca="false">F26*'0.DADES'!$E$65</f>
        <v>0</v>
      </c>
      <c r="G55" s="261" t="n">
        <f aca="false">G26*'0.DADES'!$E$65</f>
        <v>0</v>
      </c>
      <c r="H55" s="261" t="n">
        <f aca="false">H26*'0.DADES'!$E$65</f>
        <v>0</v>
      </c>
      <c r="I55" s="261" t="n">
        <f aca="false">I26*'0.DADES'!$E$65</f>
        <v>0</v>
      </c>
    </row>
    <row r="56" customFormat="false" ht="13.5" hidden="false" customHeight="false" outlineLevel="0" collapsed="false">
      <c r="A56" s="181" t="n">
        <f aca="false">A27</f>
        <v>0</v>
      </c>
      <c r="B56" s="181" t="n">
        <f aca="false">B27</f>
        <v>0</v>
      </c>
      <c r="C56" s="181" t="str">
        <f aca="false">C27</f>
        <v>gasoil</v>
      </c>
      <c r="D56" s="261" t="n">
        <f aca="false">D27*'0.DADES'!$E$65</f>
        <v>0</v>
      </c>
      <c r="E56" s="261" t="n">
        <f aca="false">E27*'0.DADES'!$E$65</f>
        <v>0</v>
      </c>
      <c r="F56" s="261" t="n">
        <f aca="false">F27*'0.DADES'!$E$65</f>
        <v>0</v>
      </c>
      <c r="G56" s="261" t="n">
        <f aca="false">G27*'0.DADES'!$E$65</f>
        <v>0</v>
      </c>
      <c r="H56" s="261" t="n">
        <f aca="false">H27*'0.DADES'!$E$65</f>
        <v>0</v>
      </c>
      <c r="I56" s="261" t="n">
        <f aca="false">I27*'0.DADES'!$E$65</f>
        <v>0</v>
      </c>
    </row>
    <row r="57" customFormat="false" ht="13.5" hidden="false" customHeight="false" outlineLevel="0" collapsed="false">
      <c r="A57" s="181" t="n">
        <f aca="false">A28</f>
        <v>0</v>
      </c>
      <c r="B57" s="181" t="n">
        <f aca="false">B28</f>
        <v>0</v>
      </c>
      <c r="C57" s="181" t="str">
        <f aca="false">C28</f>
        <v>gasoil</v>
      </c>
      <c r="D57" s="261" t="n">
        <f aca="false">D28*'0.DADES'!$E$65</f>
        <v>0</v>
      </c>
      <c r="E57" s="261" t="n">
        <f aca="false">E28*'0.DADES'!$E$65</f>
        <v>0</v>
      </c>
      <c r="F57" s="261" t="n">
        <f aca="false">F28*'0.DADES'!$E$65</f>
        <v>0</v>
      </c>
      <c r="G57" s="261" t="n">
        <f aca="false">G28*'0.DADES'!$E$65</f>
        <v>0</v>
      </c>
      <c r="H57" s="261" t="n">
        <f aca="false">H28*'0.DADES'!$E$65</f>
        <v>0</v>
      </c>
      <c r="I57" s="261" t="n">
        <f aca="false">I28*'0.DADES'!$E$65</f>
        <v>0</v>
      </c>
    </row>
    <row r="58" customFormat="false" ht="13.5" hidden="false" customHeight="false" outlineLevel="0" collapsed="false">
      <c r="A58" s="181" t="n">
        <f aca="false">A29</f>
        <v>0</v>
      </c>
      <c r="B58" s="181" t="n">
        <f aca="false">B29</f>
        <v>0</v>
      </c>
      <c r="C58" s="181" t="str">
        <f aca="false">C29</f>
        <v>gasoil</v>
      </c>
      <c r="D58" s="261" t="n">
        <f aca="false">D29*'0.DADES'!$E$65</f>
        <v>0</v>
      </c>
      <c r="E58" s="261" t="n">
        <f aca="false">E29*'0.DADES'!$E$65</f>
        <v>0</v>
      </c>
      <c r="F58" s="261" t="n">
        <f aca="false">F29*'0.DADES'!$E$65</f>
        <v>0</v>
      </c>
      <c r="G58" s="261" t="n">
        <f aca="false">G29*'0.DADES'!$E$65</f>
        <v>0</v>
      </c>
      <c r="H58" s="261" t="n">
        <f aca="false">H29*'0.DADES'!$E$65</f>
        <v>0</v>
      </c>
      <c r="I58" s="261" t="n">
        <f aca="false">I29*'0.DADES'!$E$65</f>
        <v>0</v>
      </c>
    </row>
    <row r="59" customFormat="false" ht="13.5" hidden="false" customHeight="false" outlineLevel="0" collapsed="false">
      <c r="A59" s="181" t="n">
        <f aca="false">A30</f>
        <v>0</v>
      </c>
      <c r="B59" s="181" t="n">
        <f aca="false">B30</f>
        <v>0</v>
      </c>
      <c r="C59" s="181" t="str">
        <f aca="false">C30</f>
        <v>gasoil</v>
      </c>
      <c r="D59" s="261" t="n">
        <f aca="false">D30*'0.DADES'!$E$65</f>
        <v>0</v>
      </c>
      <c r="E59" s="261" t="n">
        <f aca="false">E30*'0.DADES'!$E$65</f>
        <v>0</v>
      </c>
      <c r="F59" s="261" t="n">
        <f aca="false">F30*'0.DADES'!$E$65</f>
        <v>0</v>
      </c>
      <c r="G59" s="261" t="n">
        <f aca="false">G30*'0.DADES'!$E$65</f>
        <v>0</v>
      </c>
      <c r="H59" s="261" t="n">
        <f aca="false">H30*'0.DADES'!$E$65</f>
        <v>0</v>
      </c>
      <c r="I59" s="261" t="n">
        <f aca="false">I30*'0.DADES'!$E$65</f>
        <v>0</v>
      </c>
    </row>
    <row r="60" customFormat="false" ht="13.5" hidden="false" customHeight="false" outlineLevel="0" collapsed="false">
      <c r="A60" s="181" t="n">
        <f aca="false">A31</f>
        <v>0</v>
      </c>
      <c r="B60" s="181" t="n">
        <f aca="false">B31</f>
        <v>0</v>
      </c>
      <c r="C60" s="181" t="str">
        <f aca="false">C31</f>
        <v>gasoil</v>
      </c>
      <c r="D60" s="261" t="n">
        <f aca="false">D31*'0.DADES'!$E$65</f>
        <v>0</v>
      </c>
      <c r="E60" s="261" t="n">
        <f aca="false">E31*'0.DADES'!$E$65</f>
        <v>0</v>
      </c>
      <c r="F60" s="261" t="n">
        <f aca="false">F31*'0.DADES'!$E$65</f>
        <v>0</v>
      </c>
      <c r="G60" s="261" t="n">
        <f aca="false">G31*'0.DADES'!$E$65</f>
        <v>0</v>
      </c>
      <c r="H60" s="261" t="n">
        <f aca="false">H31*'0.DADES'!$E$65</f>
        <v>0</v>
      </c>
      <c r="I60" s="261" t="n">
        <f aca="false">I31*'0.DADES'!$E$65</f>
        <v>0</v>
      </c>
    </row>
    <row r="61" customFormat="false" ht="13.5" hidden="false" customHeight="false" outlineLevel="0" collapsed="false">
      <c r="A61" s="181" t="n">
        <f aca="false">A32</f>
        <v>0</v>
      </c>
      <c r="B61" s="181" t="n">
        <f aca="false">B32</f>
        <v>0</v>
      </c>
      <c r="C61" s="181" t="str">
        <f aca="false">C32</f>
        <v>gasoil</v>
      </c>
      <c r="D61" s="261" t="n">
        <f aca="false">D32*'0.DADES'!$E$65</f>
        <v>0</v>
      </c>
      <c r="E61" s="261" t="n">
        <f aca="false">E32*'0.DADES'!$E$65</f>
        <v>0</v>
      </c>
      <c r="F61" s="261" t="n">
        <f aca="false">F32*'0.DADES'!$E$65</f>
        <v>0</v>
      </c>
      <c r="G61" s="261" t="n">
        <f aca="false">G32*'0.DADES'!$E$65</f>
        <v>0</v>
      </c>
      <c r="H61" s="261" t="n">
        <f aca="false">H32*'0.DADES'!$E$65</f>
        <v>0</v>
      </c>
      <c r="I61" s="261" t="n">
        <f aca="false">I32*'0.DADES'!$E$65</f>
        <v>0</v>
      </c>
    </row>
    <row r="62" customFormat="false" ht="13.5" hidden="false" customHeight="false" outlineLevel="0" collapsed="false">
      <c r="A62" s="181" t="n">
        <f aca="false">A33</f>
        <v>0</v>
      </c>
      <c r="B62" s="181" t="n">
        <f aca="false">B33</f>
        <v>0</v>
      </c>
      <c r="C62" s="181" t="str">
        <f aca="false">C33</f>
        <v>gasoil</v>
      </c>
      <c r="D62" s="261" t="n">
        <f aca="false">D33*'0.DADES'!$E$65</f>
        <v>0</v>
      </c>
      <c r="E62" s="261" t="n">
        <f aca="false">E33*'0.DADES'!$E$65</f>
        <v>0</v>
      </c>
      <c r="F62" s="261" t="n">
        <f aca="false">F33*'0.DADES'!$E$65</f>
        <v>0</v>
      </c>
      <c r="G62" s="261" t="n">
        <f aca="false">G33*'0.DADES'!$E$65</f>
        <v>0</v>
      </c>
      <c r="H62" s="261" t="n">
        <f aca="false">H33*'0.DADES'!$E$65</f>
        <v>0</v>
      </c>
      <c r="I62" s="261" t="n">
        <f aca="false">I33*'0.DADES'!$E$65</f>
        <v>0</v>
      </c>
    </row>
    <row r="63" customFormat="false" ht="13.5" hidden="false" customHeight="false" outlineLevel="0" collapsed="false">
      <c r="A63" s="181" t="n">
        <f aca="false">A34</f>
        <v>0</v>
      </c>
      <c r="B63" s="181" t="n">
        <f aca="false">B34</f>
        <v>0</v>
      </c>
      <c r="C63" s="181" t="str">
        <f aca="false">C34</f>
        <v>gasoil</v>
      </c>
      <c r="D63" s="261" t="n">
        <f aca="false">D34*'0.DADES'!$E$65</f>
        <v>0</v>
      </c>
      <c r="E63" s="261" t="n">
        <f aca="false">E34*'0.DADES'!$E$65</f>
        <v>0</v>
      </c>
      <c r="F63" s="261" t="n">
        <f aca="false">F34*'0.DADES'!$E$65</f>
        <v>0</v>
      </c>
      <c r="G63" s="261" t="n">
        <f aca="false">G34*'0.DADES'!$E$65</f>
        <v>0</v>
      </c>
      <c r="H63" s="261" t="n">
        <f aca="false">H34*'0.DADES'!$E$65</f>
        <v>0</v>
      </c>
      <c r="I63" s="261" t="n">
        <f aca="false">I34*'0.DADES'!$E$65</f>
        <v>0</v>
      </c>
    </row>
    <row r="64" customFormat="false" ht="13.5" hidden="false" customHeight="false" outlineLevel="0" collapsed="false">
      <c r="A64" s="181" t="n">
        <f aca="false">A35</f>
        <v>0</v>
      </c>
      <c r="B64" s="181" t="n">
        <f aca="false">B35</f>
        <v>0</v>
      </c>
      <c r="C64" s="181" t="str">
        <f aca="false">C35</f>
        <v>gasoil</v>
      </c>
      <c r="D64" s="261" t="n">
        <f aca="false">D35*'0.DADES'!$E$65</f>
        <v>0</v>
      </c>
      <c r="E64" s="261" t="n">
        <f aca="false">E35*'0.DADES'!$E$65</f>
        <v>0</v>
      </c>
      <c r="F64" s="261" t="n">
        <f aca="false">F35*'0.DADES'!$E$65</f>
        <v>0</v>
      </c>
      <c r="G64" s="261" t="n">
        <f aca="false">G35*'0.DADES'!$E$65</f>
        <v>0</v>
      </c>
      <c r="H64" s="261" t="n">
        <f aca="false">H35*'0.DADES'!$E$65</f>
        <v>0</v>
      </c>
      <c r="I64" s="261" t="n">
        <f aca="false">I35*'0.DADES'!$E$65</f>
        <v>0</v>
      </c>
    </row>
    <row r="65" customFormat="false" ht="13.5" hidden="false" customHeight="false" outlineLevel="0" collapsed="false">
      <c r="A65" s="181" t="n">
        <f aca="false">A36</f>
        <v>0</v>
      </c>
      <c r="B65" s="181" t="n">
        <f aca="false">B36</f>
        <v>0</v>
      </c>
      <c r="C65" s="181" t="str">
        <f aca="false">C36</f>
        <v>gasoil</v>
      </c>
      <c r="D65" s="261" t="n">
        <f aca="false">D36*'0.DADES'!$E$65</f>
        <v>0</v>
      </c>
      <c r="E65" s="261" t="n">
        <f aca="false">E36*'0.DADES'!$E$65</f>
        <v>0</v>
      </c>
      <c r="F65" s="261" t="n">
        <f aca="false">F36*'0.DADES'!$E$65</f>
        <v>0</v>
      </c>
      <c r="G65" s="261" t="n">
        <f aca="false">G36*'0.DADES'!$E$65</f>
        <v>0</v>
      </c>
      <c r="H65" s="261" t="n">
        <f aca="false">H36*'0.DADES'!$E$65</f>
        <v>0</v>
      </c>
      <c r="I65" s="261" t="n">
        <f aca="false">I36*'0.DADES'!$E$65</f>
        <v>0</v>
      </c>
    </row>
    <row r="66" customFormat="false" ht="13.5" hidden="false" customHeight="false" outlineLevel="0" collapsed="false">
      <c r="A66" s="181" t="n">
        <f aca="false">A37</f>
        <v>0</v>
      </c>
      <c r="B66" s="181" t="n">
        <f aca="false">B37</f>
        <v>0</v>
      </c>
      <c r="C66" s="181" t="str">
        <f aca="false">C37</f>
        <v>gasoil</v>
      </c>
      <c r="D66" s="261" t="n">
        <f aca="false">D37*'0.DADES'!$E$65</f>
        <v>0</v>
      </c>
      <c r="E66" s="261" t="n">
        <f aca="false">E37*'0.DADES'!$E$65</f>
        <v>0</v>
      </c>
      <c r="F66" s="261" t="n">
        <f aca="false">F37*'0.DADES'!$E$65</f>
        <v>0</v>
      </c>
      <c r="G66" s="261" t="n">
        <f aca="false">G37*'0.DADES'!$E$65</f>
        <v>0</v>
      </c>
      <c r="H66" s="261" t="n">
        <f aca="false">H37*'0.DADES'!$E$65</f>
        <v>0</v>
      </c>
      <c r="I66" s="261" t="n">
        <f aca="false">I37*'0.DADES'!$E$65</f>
        <v>0</v>
      </c>
    </row>
    <row r="67" customFormat="false" ht="13.5" hidden="false" customHeight="false" outlineLevel="0" collapsed="false">
      <c r="A67" s="181" t="n">
        <f aca="false">A38</f>
        <v>0</v>
      </c>
      <c r="B67" s="181" t="n">
        <f aca="false">B38</f>
        <v>0</v>
      </c>
      <c r="C67" s="181" t="str">
        <f aca="false">C38</f>
        <v>gasoil</v>
      </c>
      <c r="D67" s="261" t="n">
        <f aca="false">D38*'0.DADES'!$E$65</f>
        <v>0</v>
      </c>
      <c r="E67" s="261" t="n">
        <f aca="false">E38*'0.DADES'!$E$65</f>
        <v>0</v>
      </c>
      <c r="F67" s="261" t="n">
        <f aca="false">F38*'0.DADES'!$E$65</f>
        <v>0</v>
      </c>
      <c r="G67" s="261" t="n">
        <f aca="false">G38*'0.DADES'!$E$65</f>
        <v>0</v>
      </c>
      <c r="H67" s="261" t="n">
        <f aca="false">H38*'0.DADES'!$E$65</f>
        <v>0</v>
      </c>
      <c r="I67" s="261" t="n">
        <f aca="false">I38*'0.DADES'!$E$65</f>
        <v>0</v>
      </c>
    </row>
    <row r="68" customFormat="false" ht="13.5" hidden="false" customHeight="false" outlineLevel="0" collapsed="false">
      <c r="A68" s="181" t="n">
        <f aca="false">A39</f>
        <v>0</v>
      </c>
      <c r="B68" s="181" t="n">
        <f aca="false">B39</f>
        <v>0</v>
      </c>
      <c r="C68" s="181" t="str">
        <f aca="false">C39</f>
        <v>gasoil</v>
      </c>
      <c r="D68" s="261" t="n">
        <f aca="false">D39*'0.DADES'!$E$65</f>
        <v>0</v>
      </c>
      <c r="E68" s="261" t="n">
        <f aca="false">E39*'0.DADES'!$E$65</f>
        <v>0</v>
      </c>
      <c r="F68" s="261" t="n">
        <f aca="false">F39*'0.DADES'!$E$65</f>
        <v>0</v>
      </c>
      <c r="G68" s="261" t="n">
        <f aca="false">G39*'0.DADES'!$E$65</f>
        <v>0</v>
      </c>
      <c r="H68" s="261" t="n">
        <f aca="false">H39*'0.DADES'!$E$65</f>
        <v>0</v>
      </c>
      <c r="I68" s="261" t="n">
        <f aca="false">I39*'0.DADES'!$E$65</f>
        <v>0</v>
      </c>
    </row>
    <row r="69" customFormat="false" ht="13.5" hidden="false" customHeight="false" outlineLevel="0" collapsed="false">
      <c r="A69" s="181" t="n">
        <f aca="false">A40</f>
        <v>0</v>
      </c>
      <c r="B69" s="181" t="n">
        <f aca="false">B40</f>
        <v>0</v>
      </c>
      <c r="C69" s="181" t="str">
        <f aca="false">C40</f>
        <v>gasoil</v>
      </c>
      <c r="D69" s="261" t="n">
        <f aca="false">D40*'0.DADES'!$E$65</f>
        <v>0</v>
      </c>
      <c r="E69" s="261" t="n">
        <f aca="false">E40*'0.DADES'!$E$65</f>
        <v>0</v>
      </c>
      <c r="F69" s="261" t="n">
        <f aca="false">F40*'0.DADES'!$E$65</f>
        <v>0</v>
      </c>
      <c r="G69" s="261" t="n">
        <f aca="false">G40*'0.DADES'!$E$65</f>
        <v>0</v>
      </c>
      <c r="H69" s="261" t="n">
        <f aca="false">H40*'0.DADES'!$E$65</f>
        <v>0</v>
      </c>
      <c r="I69" s="261" t="n">
        <f aca="false">I40*'0.DADES'!$E$65</f>
        <v>0</v>
      </c>
    </row>
    <row r="70" customFormat="false" ht="13.5" hidden="false" customHeight="false" outlineLevel="0" collapsed="false">
      <c r="A70" s="181" t="n">
        <f aca="false">A41</f>
        <v>0</v>
      </c>
      <c r="B70" s="181" t="n">
        <f aca="false">B41</f>
        <v>0</v>
      </c>
      <c r="C70" s="181" t="str">
        <f aca="false">C41</f>
        <v>gasoil</v>
      </c>
      <c r="D70" s="261" t="n">
        <f aca="false">D41*'0.DADES'!$E$65</f>
        <v>0</v>
      </c>
      <c r="E70" s="261" t="n">
        <f aca="false">E41*'0.DADES'!$E$65</f>
        <v>0</v>
      </c>
      <c r="F70" s="261" t="n">
        <f aca="false">F41*'0.DADES'!$E$65</f>
        <v>0</v>
      </c>
      <c r="G70" s="261" t="n">
        <f aca="false">G41*'0.DADES'!$E$65</f>
        <v>0</v>
      </c>
      <c r="H70" s="261" t="n">
        <f aca="false">H41*'0.DADES'!$E$65</f>
        <v>0</v>
      </c>
      <c r="I70" s="261" t="n">
        <f aca="false">I41*'0.DADES'!$E$65</f>
        <v>0</v>
      </c>
    </row>
    <row r="71" customFormat="false" ht="13.5" hidden="false" customHeight="false" outlineLevel="0" collapsed="false">
      <c r="A71" s="181" t="n">
        <f aca="false">A42</f>
        <v>0</v>
      </c>
      <c r="B71" s="181" t="n">
        <f aca="false">B42</f>
        <v>0</v>
      </c>
      <c r="C71" s="181" t="str">
        <f aca="false">C42</f>
        <v>gasoil</v>
      </c>
      <c r="D71" s="261" t="n">
        <f aca="false">D42*'0.DADES'!$E$65</f>
        <v>0</v>
      </c>
      <c r="E71" s="261" t="n">
        <f aca="false">E42*'0.DADES'!$E$65</f>
        <v>0</v>
      </c>
      <c r="F71" s="261" t="n">
        <f aca="false">F42*'0.DADES'!$E$65</f>
        <v>0</v>
      </c>
      <c r="G71" s="261" t="n">
        <f aca="false">G42*'0.DADES'!$E$65</f>
        <v>0</v>
      </c>
      <c r="H71" s="261" t="n">
        <f aca="false">H42*'0.DADES'!$E$65</f>
        <v>0</v>
      </c>
      <c r="I71" s="261" t="n">
        <f aca="false">I42*'0.DADES'!$E$65</f>
        <v>0</v>
      </c>
    </row>
    <row r="72" customFormat="false" ht="13.5" hidden="false" customHeight="false" outlineLevel="0" collapsed="false">
      <c r="A72" s="257" t="s">
        <v>272</v>
      </c>
      <c r="B72" s="257" t="s">
        <v>86</v>
      </c>
      <c r="C72" s="257" t="s">
        <v>86</v>
      </c>
      <c r="D72" s="262" t="n">
        <f aca="false">SUM(D47:D71)</f>
        <v>577010.49385</v>
      </c>
      <c r="E72" s="262" t="n">
        <f aca="false">SUM(E47:E71)</f>
        <v>577010.49385</v>
      </c>
      <c r="F72" s="262" t="n">
        <f aca="false">SUM(F47:F71)</f>
        <v>577010.49385</v>
      </c>
      <c r="G72" s="262" t="n">
        <f aca="false">SUM(G47:G71)</f>
        <v>577010.49385</v>
      </c>
      <c r="H72" s="262" t="n">
        <f aca="false">SUM(H47:H71)</f>
        <v>577010.49385</v>
      </c>
      <c r="I72" s="262" t="n">
        <f aca="false">SUM(I47:I71)</f>
        <v>577010.49385</v>
      </c>
    </row>
    <row r="76" s="176" customFormat="true" ht="13.5" hidden="false" customHeight="false" outlineLevel="0" collapsed="false">
      <c r="A76" s="194" t="s">
        <v>525</v>
      </c>
      <c r="D76" s="182" t="s">
        <v>391</v>
      </c>
      <c r="E76" s="182"/>
      <c r="F76" s="182"/>
      <c r="G76" s="182"/>
      <c r="H76" s="182"/>
      <c r="I76" s="182"/>
      <c r="J76" s="182" t="s">
        <v>322</v>
      </c>
      <c r="K76" s="182"/>
      <c r="L76" s="182"/>
      <c r="M76" s="182"/>
      <c r="N76" s="182"/>
      <c r="O76" s="182"/>
      <c r="P76" s="184"/>
      <c r="Q76" s="184"/>
      <c r="R76" s="195"/>
      <c r="S76" s="184"/>
      <c r="T76" s="184"/>
      <c r="U76" s="184"/>
      <c r="V76" s="184"/>
      <c r="W76" s="184"/>
      <c r="X76" s="195"/>
      <c r="Y76" s="184"/>
      <c r="Z76" s="184"/>
      <c r="AA76" s="184"/>
      <c r="AB76" s="184"/>
      <c r="AC76" s="184"/>
      <c r="AD76" s="196"/>
      <c r="AE76" s="197"/>
      <c r="AF76" s="188"/>
      <c r="AG76" s="196"/>
      <c r="AH76" s="195"/>
      <c r="AI76" s="195"/>
    </row>
    <row r="77" s="249" customFormat="true" ht="25.5" hidden="false" customHeight="false" outlineLevel="0" collapsed="false">
      <c r="A77" s="190" t="s">
        <v>495</v>
      </c>
      <c r="B77" s="190" t="s">
        <v>496</v>
      </c>
      <c r="C77" s="190" t="s">
        <v>497</v>
      </c>
      <c r="D77" s="190" t="n">
        <f aca="false">D17</f>
        <v>2005</v>
      </c>
      <c r="E77" s="190" t="n">
        <f aca="false">E17</f>
        <v>2006</v>
      </c>
      <c r="F77" s="190" t="n">
        <f aca="false">F17</f>
        <v>2007</v>
      </c>
      <c r="G77" s="190" t="n">
        <f aca="false">G17</f>
        <v>2008</v>
      </c>
      <c r="H77" s="190" t="n">
        <f aca="false">H17</f>
        <v>2009</v>
      </c>
      <c r="I77" s="190" t="n">
        <f aca="false">I17</f>
        <v>2010</v>
      </c>
      <c r="J77" s="190" t="n">
        <f aca="false">D77</f>
        <v>2005</v>
      </c>
      <c r="K77" s="190" t="n">
        <f aca="false">E77</f>
        <v>2006</v>
      </c>
      <c r="L77" s="190" t="n">
        <f aca="false">F77</f>
        <v>2007</v>
      </c>
      <c r="M77" s="190" t="n">
        <f aca="false">G77</f>
        <v>2008</v>
      </c>
      <c r="N77" s="190" t="n">
        <f aca="false">H77</f>
        <v>2009</v>
      </c>
      <c r="O77" s="190" t="n">
        <f aca="false">I77</f>
        <v>2010</v>
      </c>
      <c r="P77" s="243"/>
      <c r="Q77" s="244"/>
      <c r="R77" s="244"/>
      <c r="S77" s="244"/>
      <c r="T77" s="244"/>
      <c r="U77" s="244"/>
      <c r="V77" s="243"/>
      <c r="W77" s="244"/>
      <c r="X77" s="244"/>
      <c r="Y77" s="244"/>
      <c r="Z77" s="244"/>
      <c r="AA77" s="244"/>
      <c r="AB77" s="245"/>
      <c r="AC77" s="246"/>
      <c r="AD77" s="247"/>
      <c r="AE77" s="245"/>
      <c r="AF77" s="248"/>
      <c r="AG77" s="248"/>
      <c r="AH77" s="248"/>
      <c r="AI77" s="248"/>
    </row>
    <row r="78" s="176" customFormat="true" ht="13.5" hidden="false" customHeight="false" outlineLevel="0" collapsed="false">
      <c r="A78" s="238"/>
      <c r="B78" s="203"/>
      <c r="C78" s="250" t="s">
        <v>525</v>
      </c>
      <c r="D78" s="204"/>
      <c r="E78" s="204"/>
      <c r="F78" s="204"/>
      <c r="G78" s="204"/>
      <c r="H78" s="204"/>
      <c r="I78" s="204"/>
      <c r="J78" s="204"/>
      <c r="K78" s="204"/>
      <c r="L78" s="204"/>
      <c r="M78" s="204"/>
      <c r="N78" s="204"/>
      <c r="O78" s="204"/>
      <c r="P78" s="232"/>
      <c r="Q78" s="195"/>
      <c r="R78" s="195"/>
      <c r="S78" s="195"/>
      <c r="T78" s="195"/>
      <c r="U78" s="195"/>
      <c r="V78" s="232"/>
      <c r="W78" s="206"/>
      <c r="X78" s="206"/>
      <c r="Y78" s="206"/>
      <c r="Z78" s="206"/>
      <c r="AA78" s="206"/>
      <c r="AB78" s="196"/>
      <c r="AC78" s="199"/>
      <c r="AD78" s="197"/>
      <c r="AE78" s="196"/>
      <c r="AF78" s="196"/>
      <c r="AG78" s="195"/>
      <c r="AH78" s="195"/>
      <c r="AI78" s="195"/>
    </row>
    <row r="79" s="176" customFormat="true" ht="13.5" hidden="false" customHeight="false" outlineLevel="0" collapsed="false">
      <c r="A79" s="238"/>
      <c r="B79" s="203"/>
      <c r="C79" s="250" t="s">
        <v>525</v>
      </c>
      <c r="D79" s="204"/>
      <c r="E79" s="204"/>
      <c r="F79" s="204"/>
      <c r="G79" s="204"/>
      <c r="H79" s="204"/>
      <c r="I79" s="204"/>
      <c r="J79" s="204"/>
      <c r="K79" s="204"/>
      <c r="L79" s="204"/>
      <c r="M79" s="204"/>
      <c r="N79" s="204"/>
      <c r="O79" s="204"/>
      <c r="P79" s="232"/>
      <c r="Q79" s="195"/>
      <c r="R79" s="195"/>
      <c r="S79" s="195"/>
      <c r="T79" s="195"/>
      <c r="U79" s="195"/>
      <c r="V79" s="232"/>
      <c r="W79" s="206"/>
      <c r="X79" s="206"/>
      <c r="Y79" s="206"/>
      <c r="Z79" s="206"/>
      <c r="AA79" s="206"/>
      <c r="AB79" s="196"/>
      <c r="AC79" s="199"/>
      <c r="AD79" s="197"/>
      <c r="AE79" s="196"/>
      <c r="AF79" s="196"/>
      <c r="AG79" s="195"/>
      <c r="AH79" s="195"/>
      <c r="AI79" s="195"/>
    </row>
    <row r="80" s="176" customFormat="true" ht="13.5" hidden="false" customHeight="false" outlineLevel="0" collapsed="false">
      <c r="A80" s="238"/>
      <c r="B80" s="203"/>
      <c r="C80" s="250" t="s">
        <v>525</v>
      </c>
      <c r="D80" s="204"/>
      <c r="E80" s="204"/>
      <c r="F80" s="204"/>
      <c r="G80" s="204"/>
      <c r="H80" s="204"/>
      <c r="I80" s="204"/>
      <c r="J80" s="204"/>
      <c r="K80" s="204"/>
      <c r="L80" s="204"/>
      <c r="M80" s="204"/>
      <c r="N80" s="204"/>
      <c r="O80" s="204"/>
      <c r="P80" s="232"/>
      <c r="Q80" s="195"/>
      <c r="R80" s="195"/>
      <c r="S80" s="195"/>
      <c r="T80" s="195"/>
      <c r="U80" s="195"/>
      <c r="V80" s="232"/>
      <c r="W80" s="206"/>
      <c r="X80" s="206"/>
      <c r="Y80" s="206"/>
      <c r="Z80" s="206"/>
      <c r="AA80" s="206"/>
      <c r="AB80" s="196"/>
      <c r="AC80" s="199"/>
      <c r="AD80" s="197"/>
      <c r="AE80" s="196"/>
      <c r="AF80" s="196"/>
      <c r="AG80" s="195"/>
      <c r="AH80" s="195"/>
      <c r="AI80" s="195"/>
    </row>
    <row r="81" s="176" customFormat="true" ht="13.5" hidden="false" customHeight="false" outlineLevel="0" collapsed="false">
      <c r="A81" s="238"/>
      <c r="B81" s="203"/>
      <c r="C81" s="250" t="s">
        <v>525</v>
      </c>
      <c r="D81" s="204"/>
      <c r="E81" s="204"/>
      <c r="F81" s="204"/>
      <c r="G81" s="204"/>
      <c r="H81" s="204"/>
      <c r="I81" s="204"/>
      <c r="J81" s="204"/>
      <c r="K81" s="204"/>
      <c r="L81" s="204"/>
      <c r="M81" s="204"/>
      <c r="N81" s="204"/>
      <c r="O81" s="204"/>
      <c r="P81" s="232"/>
      <c r="Q81" s="195"/>
      <c r="R81" s="195"/>
      <c r="S81" s="195"/>
      <c r="T81" s="195"/>
      <c r="U81" s="195"/>
      <c r="V81" s="232"/>
      <c r="W81" s="206"/>
      <c r="X81" s="206"/>
      <c r="Y81" s="206"/>
      <c r="Z81" s="206"/>
      <c r="AA81" s="206"/>
      <c r="AB81" s="196"/>
      <c r="AC81" s="199"/>
      <c r="AD81" s="197"/>
      <c r="AE81" s="196"/>
      <c r="AF81" s="196"/>
      <c r="AG81" s="195"/>
      <c r="AH81" s="195"/>
      <c r="AI81" s="195"/>
    </row>
    <row r="82" s="176" customFormat="true" ht="13.5" hidden="false" customHeight="false" outlineLevel="0" collapsed="false">
      <c r="A82" s="238"/>
      <c r="B82" s="203"/>
      <c r="C82" s="250" t="s">
        <v>525</v>
      </c>
      <c r="D82" s="204"/>
      <c r="E82" s="204"/>
      <c r="F82" s="204"/>
      <c r="G82" s="204"/>
      <c r="H82" s="204"/>
      <c r="I82" s="204"/>
      <c r="J82" s="204"/>
      <c r="K82" s="204"/>
      <c r="L82" s="204"/>
      <c r="M82" s="204"/>
      <c r="N82" s="204"/>
      <c r="O82" s="204"/>
      <c r="P82" s="232"/>
      <c r="Q82" s="195"/>
      <c r="R82" s="195"/>
      <c r="S82" s="195"/>
      <c r="T82" s="195"/>
      <c r="U82" s="195"/>
      <c r="V82" s="232"/>
      <c r="W82" s="206"/>
      <c r="X82" s="206"/>
      <c r="Y82" s="206"/>
      <c r="Z82" s="206"/>
      <c r="AA82" s="206"/>
      <c r="AB82" s="196"/>
      <c r="AC82" s="199"/>
      <c r="AD82" s="197"/>
      <c r="AE82" s="196"/>
      <c r="AF82" s="196"/>
      <c r="AG82" s="195"/>
      <c r="AH82" s="195"/>
      <c r="AI82" s="195"/>
    </row>
    <row r="83" s="176" customFormat="true" ht="13.5" hidden="false" customHeight="false" outlineLevel="0" collapsed="false">
      <c r="A83" s="238"/>
      <c r="B83" s="203"/>
      <c r="C83" s="250" t="s">
        <v>525</v>
      </c>
      <c r="D83" s="204"/>
      <c r="E83" s="204"/>
      <c r="F83" s="204"/>
      <c r="G83" s="204"/>
      <c r="H83" s="204"/>
      <c r="I83" s="204"/>
      <c r="J83" s="204"/>
      <c r="K83" s="204"/>
      <c r="L83" s="204"/>
      <c r="M83" s="204"/>
      <c r="N83" s="204"/>
      <c r="O83" s="204"/>
      <c r="P83" s="232"/>
      <c r="Q83" s="195"/>
      <c r="R83" s="195"/>
      <c r="S83" s="195"/>
      <c r="T83" s="195"/>
      <c r="U83" s="195"/>
      <c r="V83" s="232"/>
      <c r="W83" s="206"/>
      <c r="X83" s="206"/>
      <c r="Y83" s="206"/>
      <c r="Z83" s="206"/>
      <c r="AA83" s="206"/>
      <c r="AB83" s="196"/>
      <c r="AC83" s="199"/>
      <c r="AD83" s="197"/>
      <c r="AE83" s="196"/>
      <c r="AF83" s="196"/>
      <c r="AG83" s="195"/>
      <c r="AH83" s="195"/>
      <c r="AI83" s="195"/>
    </row>
    <row r="84" customFormat="false" ht="13.5" hidden="false" customHeight="false" outlineLevel="0" collapsed="false">
      <c r="A84" s="238"/>
      <c r="B84" s="203"/>
      <c r="C84" s="250" t="s">
        <v>525</v>
      </c>
      <c r="D84" s="204"/>
      <c r="E84" s="204"/>
      <c r="F84" s="204"/>
      <c r="G84" s="204"/>
      <c r="H84" s="204"/>
      <c r="I84" s="204"/>
      <c r="J84" s="204"/>
      <c r="K84" s="204"/>
      <c r="L84" s="204"/>
      <c r="M84" s="204"/>
      <c r="N84" s="204"/>
      <c r="O84" s="204"/>
      <c r="P84" s="232"/>
      <c r="Q84" s="211"/>
      <c r="R84" s="211"/>
      <c r="S84" s="211"/>
      <c r="T84" s="211"/>
      <c r="U84" s="211"/>
      <c r="V84" s="232"/>
      <c r="W84" s="206"/>
      <c r="X84" s="206"/>
      <c r="Y84" s="206"/>
      <c r="Z84" s="206"/>
      <c r="AA84" s="206"/>
      <c r="AB84" s="196"/>
      <c r="AC84" s="199"/>
      <c r="AD84" s="197"/>
      <c r="AE84" s="196"/>
      <c r="AF84" s="196"/>
      <c r="AG84" s="195"/>
      <c r="AH84" s="195"/>
      <c r="AI84" s="195"/>
    </row>
    <row r="85" customFormat="false" ht="13.5" hidden="false" customHeight="false" outlineLevel="0" collapsed="false">
      <c r="A85" s="238"/>
      <c r="B85" s="203"/>
      <c r="C85" s="250" t="s">
        <v>525</v>
      </c>
      <c r="D85" s="204"/>
      <c r="E85" s="204"/>
      <c r="F85" s="204"/>
      <c r="G85" s="204"/>
      <c r="H85" s="204"/>
      <c r="I85" s="204"/>
      <c r="J85" s="204"/>
      <c r="K85" s="204"/>
      <c r="L85" s="204"/>
      <c r="M85" s="204"/>
      <c r="N85" s="204"/>
      <c r="O85" s="204"/>
      <c r="P85" s="232"/>
      <c r="Q85" s="211"/>
      <c r="R85" s="211"/>
      <c r="S85" s="211"/>
      <c r="T85" s="211"/>
      <c r="U85" s="211"/>
      <c r="V85" s="232"/>
      <c r="W85" s="206"/>
      <c r="X85" s="206"/>
      <c r="Y85" s="206"/>
      <c r="Z85" s="206"/>
      <c r="AA85" s="206"/>
      <c r="AB85" s="196"/>
      <c r="AC85" s="199"/>
      <c r="AD85" s="197"/>
      <c r="AE85" s="196"/>
      <c r="AF85" s="196"/>
      <c r="AG85" s="195"/>
      <c r="AH85" s="195"/>
      <c r="AI85" s="195"/>
    </row>
    <row r="86" customFormat="false" ht="13.5" hidden="false" customHeight="false" outlineLevel="0" collapsed="false">
      <c r="A86" s="238"/>
      <c r="B86" s="203"/>
      <c r="C86" s="250" t="s">
        <v>525</v>
      </c>
      <c r="D86" s="204"/>
      <c r="E86" s="204"/>
      <c r="F86" s="204"/>
      <c r="G86" s="204"/>
      <c r="H86" s="204"/>
      <c r="I86" s="204"/>
      <c r="J86" s="204"/>
      <c r="K86" s="204"/>
      <c r="L86" s="204"/>
      <c r="M86" s="204"/>
      <c r="N86" s="204"/>
      <c r="O86" s="204"/>
      <c r="P86" s="232"/>
      <c r="Q86" s="211"/>
      <c r="R86" s="211"/>
      <c r="S86" s="211"/>
      <c r="T86" s="211"/>
      <c r="U86" s="211"/>
      <c r="V86" s="232"/>
      <c r="W86" s="206"/>
      <c r="X86" s="206"/>
      <c r="Y86" s="206"/>
      <c r="Z86" s="206"/>
      <c r="AA86" s="206"/>
      <c r="AB86" s="196"/>
      <c r="AC86" s="199"/>
      <c r="AD86" s="197"/>
      <c r="AE86" s="196"/>
      <c r="AF86" s="196"/>
      <c r="AG86" s="195"/>
      <c r="AH86" s="195"/>
      <c r="AI86" s="195"/>
    </row>
    <row r="87" customFormat="false" ht="13.5" hidden="false" customHeight="false" outlineLevel="0" collapsed="false">
      <c r="A87" s="238"/>
      <c r="B87" s="203"/>
      <c r="C87" s="250" t="s">
        <v>525</v>
      </c>
      <c r="D87" s="204"/>
      <c r="E87" s="204"/>
      <c r="F87" s="204"/>
      <c r="G87" s="204"/>
      <c r="H87" s="204"/>
      <c r="I87" s="204"/>
      <c r="J87" s="204"/>
      <c r="K87" s="204"/>
      <c r="L87" s="204"/>
      <c r="M87" s="204"/>
      <c r="N87" s="204"/>
      <c r="O87" s="204"/>
      <c r="P87" s="232"/>
      <c r="Q87" s="211"/>
      <c r="R87" s="211"/>
      <c r="S87" s="211"/>
      <c r="T87" s="211"/>
      <c r="U87" s="211"/>
      <c r="V87" s="232"/>
      <c r="W87" s="206"/>
      <c r="X87" s="206"/>
      <c r="Y87" s="206"/>
      <c r="Z87" s="206"/>
      <c r="AA87" s="206"/>
      <c r="AB87" s="196"/>
      <c r="AC87" s="199"/>
      <c r="AD87" s="197"/>
      <c r="AE87" s="196"/>
      <c r="AF87" s="196"/>
      <c r="AG87" s="195"/>
      <c r="AH87" s="195"/>
      <c r="AI87" s="195"/>
    </row>
    <row r="88" customFormat="false" ht="13.5" hidden="false" customHeight="false" outlineLevel="0" collapsed="false">
      <c r="A88" s="238"/>
      <c r="B88" s="203"/>
      <c r="C88" s="250" t="s">
        <v>525</v>
      </c>
      <c r="D88" s="204"/>
      <c r="E88" s="204"/>
      <c r="F88" s="204"/>
      <c r="G88" s="204"/>
      <c r="H88" s="204"/>
      <c r="I88" s="204"/>
      <c r="J88" s="204"/>
      <c r="K88" s="204"/>
      <c r="L88" s="204"/>
      <c r="M88" s="204"/>
      <c r="N88" s="204"/>
      <c r="O88" s="204"/>
      <c r="P88" s="232"/>
      <c r="Q88" s="211"/>
      <c r="R88" s="211"/>
      <c r="S88" s="211"/>
      <c r="T88" s="211"/>
      <c r="U88" s="211"/>
      <c r="V88" s="232"/>
      <c r="W88" s="206"/>
      <c r="X88" s="206"/>
      <c r="Y88" s="206"/>
      <c r="Z88" s="206"/>
      <c r="AA88" s="206"/>
      <c r="AB88" s="196"/>
      <c r="AC88" s="199"/>
      <c r="AD88" s="197"/>
      <c r="AE88" s="196"/>
      <c r="AF88" s="196"/>
      <c r="AG88" s="195"/>
      <c r="AH88" s="195"/>
      <c r="AI88" s="195"/>
    </row>
    <row r="89" customFormat="false" ht="13.5" hidden="false" customHeight="false" outlineLevel="0" collapsed="false">
      <c r="A89" s="238"/>
      <c r="B89" s="203"/>
      <c r="C89" s="250" t="s">
        <v>525</v>
      </c>
      <c r="D89" s="204"/>
      <c r="E89" s="204"/>
      <c r="F89" s="204"/>
      <c r="G89" s="204"/>
      <c r="H89" s="204"/>
      <c r="I89" s="204"/>
      <c r="J89" s="204"/>
      <c r="K89" s="204"/>
      <c r="L89" s="204"/>
      <c r="M89" s="204"/>
      <c r="N89" s="204"/>
      <c r="O89" s="204"/>
      <c r="P89" s="232"/>
      <c r="Q89" s="211"/>
      <c r="R89" s="211"/>
      <c r="S89" s="211"/>
      <c r="T89" s="211"/>
      <c r="U89" s="211"/>
      <c r="V89" s="232"/>
      <c r="W89" s="206"/>
      <c r="X89" s="206"/>
      <c r="Y89" s="206"/>
      <c r="Z89" s="206"/>
      <c r="AA89" s="206"/>
      <c r="AB89" s="196"/>
      <c r="AC89" s="199"/>
      <c r="AD89" s="197"/>
      <c r="AE89" s="196"/>
      <c r="AF89" s="196"/>
      <c r="AG89" s="195"/>
      <c r="AH89" s="195"/>
      <c r="AI89" s="195"/>
    </row>
    <row r="90" customFormat="false" ht="13.5" hidden="false" customHeight="false" outlineLevel="0" collapsed="false">
      <c r="A90" s="238"/>
      <c r="B90" s="203"/>
      <c r="C90" s="250" t="s">
        <v>525</v>
      </c>
      <c r="D90" s="204"/>
      <c r="E90" s="204"/>
      <c r="F90" s="204"/>
      <c r="G90" s="204"/>
      <c r="H90" s="204"/>
      <c r="I90" s="204"/>
      <c r="J90" s="204"/>
      <c r="K90" s="204"/>
      <c r="L90" s="204"/>
      <c r="M90" s="204"/>
      <c r="N90" s="204"/>
      <c r="O90" s="204"/>
    </row>
    <row r="91" customFormat="false" ht="13.5" hidden="false" customHeight="false" outlineLevel="0" collapsed="false">
      <c r="A91" s="238"/>
      <c r="B91" s="203"/>
      <c r="C91" s="250" t="s">
        <v>525</v>
      </c>
      <c r="D91" s="204"/>
      <c r="E91" s="204"/>
      <c r="F91" s="204"/>
      <c r="G91" s="204"/>
      <c r="H91" s="204"/>
      <c r="I91" s="204"/>
      <c r="J91" s="204"/>
      <c r="K91" s="204"/>
      <c r="L91" s="204"/>
      <c r="M91" s="204"/>
      <c r="N91" s="204"/>
      <c r="O91" s="204"/>
    </row>
    <row r="92" customFormat="false" ht="13.5" hidden="false" customHeight="false" outlineLevel="0" collapsed="false">
      <c r="A92" s="257" t="s">
        <v>272</v>
      </c>
      <c r="B92" s="257"/>
      <c r="C92" s="257"/>
      <c r="D92" s="263" t="n">
        <f aca="false">SUM(D78:D91)</f>
        <v>0</v>
      </c>
      <c r="E92" s="263" t="n">
        <f aca="false">SUM(E78:E91)</f>
        <v>0</v>
      </c>
      <c r="F92" s="263" t="n">
        <f aca="false">SUM(F78:F91)</f>
        <v>0</v>
      </c>
      <c r="G92" s="263" t="n">
        <f aca="false">SUM(G78:G91)</f>
        <v>0</v>
      </c>
      <c r="H92" s="263" t="n">
        <f aca="false">SUM(H78:H91)</f>
        <v>0</v>
      </c>
      <c r="I92" s="263" t="n">
        <f aca="false">SUM(I78:I91)</f>
        <v>0</v>
      </c>
      <c r="J92" s="263" t="n">
        <f aca="false">SUM(J78:J91)</f>
        <v>0</v>
      </c>
      <c r="K92" s="263" t="n">
        <f aca="false">SUM(K78:K91)</f>
        <v>0</v>
      </c>
      <c r="L92" s="263" t="n">
        <f aca="false">SUM(L78:L91)</f>
        <v>0</v>
      </c>
      <c r="M92" s="263" t="n">
        <f aca="false">SUM(M78:M91)</f>
        <v>0</v>
      </c>
      <c r="N92" s="263" t="n">
        <f aca="false">SUM(N78:N91)</f>
        <v>0</v>
      </c>
      <c r="O92" s="263" t="n">
        <f aca="false">SUM(O78:O91)</f>
        <v>0</v>
      </c>
    </row>
    <row r="94" customFormat="false" ht="13.5" hidden="false" customHeight="false" outlineLevel="0" collapsed="false">
      <c r="A94" s="194"/>
      <c r="B94" s="176"/>
      <c r="C94" s="176"/>
      <c r="D94" s="182" t="s">
        <v>524</v>
      </c>
      <c r="E94" s="182"/>
      <c r="F94" s="182"/>
      <c r="G94" s="182"/>
      <c r="H94" s="182"/>
      <c r="I94" s="182"/>
    </row>
    <row r="95" customFormat="false" ht="25.5" hidden="false" customHeight="false" outlineLevel="0" collapsed="false">
      <c r="A95" s="190" t="s">
        <v>495</v>
      </c>
      <c r="B95" s="190" t="s">
        <v>496</v>
      </c>
      <c r="C95" s="190" t="s">
        <v>497</v>
      </c>
      <c r="D95" s="190" t="n">
        <f aca="false">D77</f>
        <v>2005</v>
      </c>
      <c r="E95" s="190" t="n">
        <f aca="false">E77</f>
        <v>2006</v>
      </c>
      <c r="F95" s="190" t="n">
        <f aca="false">F77</f>
        <v>2007</v>
      </c>
      <c r="G95" s="190" t="n">
        <f aca="false">G77</f>
        <v>2008</v>
      </c>
      <c r="H95" s="190" t="n">
        <f aca="false">H77</f>
        <v>2009</v>
      </c>
      <c r="I95" s="190" t="n">
        <f aca="false">I77</f>
        <v>2010</v>
      </c>
    </row>
    <row r="96" customFormat="false" ht="13.5" hidden="false" customHeight="false" outlineLevel="0" collapsed="false">
      <c r="A96" s="257" t="n">
        <f aca="false">A78</f>
        <v>0</v>
      </c>
      <c r="B96" s="257" t="n">
        <f aca="false">B78</f>
        <v>0</v>
      </c>
      <c r="C96" s="257" t="str">
        <f aca="false">C78</f>
        <v>GASOLINA</v>
      </c>
      <c r="D96" s="261" t="n">
        <f aca="false">D78*'0.DADES'!$E$68</f>
        <v>0</v>
      </c>
      <c r="E96" s="261" t="n">
        <f aca="false">E78*'0.DADES'!$E$68</f>
        <v>0</v>
      </c>
      <c r="F96" s="261" t="n">
        <f aca="false">F78*'0.DADES'!$E$68</f>
        <v>0</v>
      </c>
      <c r="G96" s="261" t="n">
        <f aca="false">G78*'0.DADES'!$E$68</f>
        <v>0</v>
      </c>
      <c r="H96" s="261" t="n">
        <f aca="false">H78*'0.DADES'!$E$68</f>
        <v>0</v>
      </c>
      <c r="I96" s="261" t="n">
        <f aca="false">I78*'0.DADES'!$E$68</f>
        <v>0</v>
      </c>
    </row>
    <row r="97" customFormat="false" ht="13.5" hidden="false" customHeight="false" outlineLevel="0" collapsed="false">
      <c r="A97" s="257" t="n">
        <f aca="false">A79</f>
        <v>0</v>
      </c>
      <c r="B97" s="257" t="n">
        <f aca="false">B79</f>
        <v>0</v>
      </c>
      <c r="C97" s="257" t="str">
        <f aca="false">C79</f>
        <v>GASOLINA</v>
      </c>
      <c r="D97" s="261" t="n">
        <f aca="false">D79*'0.DADES'!$E$68</f>
        <v>0</v>
      </c>
      <c r="E97" s="261" t="n">
        <f aca="false">E79*'0.DADES'!$E$68</f>
        <v>0</v>
      </c>
      <c r="F97" s="261" t="n">
        <f aca="false">F79*'0.DADES'!$E$68</f>
        <v>0</v>
      </c>
      <c r="G97" s="261" t="n">
        <f aca="false">G79*'0.DADES'!$E$68</f>
        <v>0</v>
      </c>
      <c r="H97" s="261" t="n">
        <f aca="false">H79*'0.DADES'!$E$68</f>
        <v>0</v>
      </c>
      <c r="I97" s="261" t="n">
        <f aca="false">I79*'0.DADES'!$E$68</f>
        <v>0</v>
      </c>
    </row>
    <row r="98" customFormat="false" ht="13.5" hidden="false" customHeight="false" outlineLevel="0" collapsed="false">
      <c r="A98" s="257" t="n">
        <f aca="false">A84</f>
        <v>0</v>
      </c>
      <c r="B98" s="257" t="n">
        <f aca="false">B84</f>
        <v>0</v>
      </c>
      <c r="C98" s="257" t="str">
        <f aca="false">C84</f>
        <v>GASOLINA</v>
      </c>
      <c r="D98" s="261" t="n">
        <f aca="false">D80*'0.DADES'!$E$68</f>
        <v>0</v>
      </c>
      <c r="E98" s="261" t="n">
        <f aca="false">E80*'0.DADES'!$E$68</f>
        <v>0</v>
      </c>
      <c r="F98" s="261" t="n">
        <f aca="false">F80*'0.DADES'!$E$68</f>
        <v>0</v>
      </c>
      <c r="G98" s="261" t="n">
        <f aca="false">G80*'0.DADES'!$E$68</f>
        <v>0</v>
      </c>
      <c r="H98" s="261" t="n">
        <f aca="false">H80*'0.DADES'!$E$68</f>
        <v>0</v>
      </c>
      <c r="I98" s="261" t="n">
        <f aca="false">I80*'0.DADES'!$E$68</f>
        <v>0</v>
      </c>
    </row>
    <row r="99" customFormat="false" ht="13.5" hidden="false" customHeight="false" outlineLevel="0" collapsed="false">
      <c r="A99" s="257" t="n">
        <f aca="false">A85</f>
        <v>0</v>
      </c>
      <c r="B99" s="257" t="n">
        <f aca="false">B85</f>
        <v>0</v>
      </c>
      <c r="C99" s="257" t="str">
        <f aca="false">C85</f>
        <v>GASOLINA</v>
      </c>
      <c r="D99" s="261" t="n">
        <f aca="false">D81*'0.DADES'!$E$68</f>
        <v>0</v>
      </c>
      <c r="E99" s="261" t="n">
        <f aca="false">E81*'0.DADES'!$E$68</f>
        <v>0</v>
      </c>
      <c r="F99" s="261" t="n">
        <f aca="false">F81*'0.DADES'!$E$68</f>
        <v>0</v>
      </c>
      <c r="G99" s="261" t="n">
        <f aca="false">G81*'0.DADES'!$E$68</f>
        <v>0</v>
      </c>
      <c r="H99" s="261" t="n">
        <f aca="false">H81*'0.DADES'!$E$68</f>
        <v>0</v>
      </c>
      <c r="I99" s="261" t="n">
        <f aca="false">I81*'0.DADES'!$E$68</f>
        <v>0</v>
      </c>
    </row>
    <row r="100" customFormat="false" ht="13.5" hidden="false" customHeight="false" outlineLevel="0" collapsed="false">
      <c r="A100" s="257" t="n">
        <f aca="false">A86</f>
        <v>0</v>
      </c>
      <c r="B100" s="257" t="n">
        <f aca="false">B86</f>
        <v>0</v>
      </c>
      <c r="C100" s="257" t="str">
        <f aca="false">C86</f>
        <v>GASOLINA</v>
      </c>
      <c r="D100" s="261" t="n">
        <f aca="false">D82*'0.DADES'!$E$68</f>
        <v>0</v>
      </c>
      <c r="E100" s="261" t="n">
        <f aca="false">E82*'0.DADES'!$E$68</f>
        <v>0</v>
      </c>
      <c r="F100" s="261" t="n">
        <f aca="false">F82*'0.DADES'!$E$68</f>
        <v>0</v>
      </c>
      <c r="G100" s="261" t="n">
        <f aca="false">G82*'0.DADES'!$E$68</f>
        <v>0</v>
      </c>
      <c r="H100" s="261" t="n">
        <f aca="false">H82*'0.DADES'!$E$68</f>
        <v>0</v>
      </c>
      <c r="I100" s="261" t="n">
        <f aca="false">I82*'0.DADES'!$E$68</f>
        <v>0</v>
      </c>
    </row>
    <row r="101" customFormat="false" ht="13.5" hidden="false" customHeight="false" outlineLevel="0" collapsed="false">
      <c r="A101" s="257" t="n">
        <f aca="false">A87</f>
        <v>0</v>
      </c>
      <c r="B101" s="257" t="n">
        <f aca="false">B87</f>
        <v>0</v>
      </c>
      <c r="C101" s="257" t="str">
        <f aca="false">C87</f>
        <v>GASOLINA</v>
      </c>
      <c r="D101" s="261" t="n">
        <f aca="false">D83*'0.DADES'!$E$68</f>
        <v>0</v>
      </c>
      <c r="E101" s="261" t="n">
        <f aca="false">E83*'0.DADES'!$E$68</f>
        <v>0</v>
      </c>
      <c r="F101" s="261" t="n">
        <f aca="false">F83*'0.DADES'!$E$68</f>
        <v>0</v>
      </c>
      <c r="G101" s="261" t="n">
        <f aca="false">G83*'0.DADES'!$E$68</f>
        <v>0</v>
      </c>
      <c r="H101" s="261" t="n">
        <f aca="false">H83*'0.DADES'!$E$68</f>
        <v>0</v>
      </c>
      <c r="I101" s="261" t="n">
        <f aca="false">I83*'0.DADES'!$E$68</f>
        <v>0</v>
      </c>
    </row>
    <row r="102" customFormat="false" ht="13.5" hidden="false" customHeight="false" outlineLevel="0" collapsed="false">
      <c r="A102" s="257" t="n">
        <f aca="false">A88</f>
        <v>0</v>
      </c>
      <c r="B102" s="257" t="n">
        <f aca="false">B88</f>
        <v>0</v>
      </c>
      <c r="C102" s="257" t="str">
        <f aca="false">C88</f>
        <v>GASOLINA</v>
      </c>
      <c r="D102" s="261" t="n">
        <f aca="false">D84*'0.DADES'!$E$68</f>
        <v>0</v>
      </c>
      <c r="E102" s="261" t="n">
        <f aca="false">E84*'0.DADES'!$E$68</f>
        <v>0</v>
      </c>
      <c r="F102" s="261" t="n">
        <f aca="false">F84*'0.DADES'!$E$68</f>
        <v>0</v>
      </c>
      <c r="G102" s="261" t="n">
        <f aca="false">G84*'0.DADES'!$E$68</f>
        <v>0</v>
      </c>
      <c r="H102" s="261" t="n">
        <f aca="false">H84*'0.DADES'!$E$68</f>
        <v>0</v>
      </c>
      <c r="I102" s="261" t="n">
        <f aca="false">I84*'0.DADES'!$E$68</f>
        <v>0</v>
      </c>
    </row>
    <row r="103" customFormat="false" ht="13.5" hidden="false" customHeight="false" outlineLevel="0" collapsed="false">
      <c r="A103" s="257" t="n">
        <f aca="false">A88</f>
        <v>0</v>
      </c>
      <c r="B103" s="257" t="n">
        <f aca="false">B88</f>
        <v>0</v>
      </c>
      <c r="C103" s="257" t="str">
        <f aca="false">C88</f>
        <v>GASOLINA</v>
      </c>
      <c r="D103" s="261" t="n">
        <f aca="false">D85*'0.DADES'!$E$68</f>
        <v>0</v>
      </c>
      <c r="E103" s="261" t="n">
        <f aca="false">E85*'0.DADES'!$E$68</f>
        <v>0</v>
      </c>
      <c r="F103" s="261" t="n">
        <f aca="false">F85*'0.DADES'!$E$68</f>
        <v>0</v>
      </c>
      <c r="G103" s="261" t="n">
        <f aca="false">G85*'0.DADES'!$E$68</f>
        <v>0</v>
      </c>
      <c r="H103" s="261" t="n">
        <f aca="false">H85*'0.DADES'!$E$68</f>
        <v>0</v>
      </c>
      <c r="I103" s="261" t="n">
        <f aca="false">I85*'0.DADES'!$E$68</f>
        <v>0</v>
      </c>
    </row>
    <row r="104" customFormat="false" ht="13.5" hidden="false" customHeight="false" outlineLevel="0" collapsed="false">
      <c r="A104" s="257" t="n">
        <f aca="false">A86</f>
        <v>0</v>
      </c>
      <c r="B104" s="257" t="n">
        <f aca="false">B86</f>
        <v>0</v>
      </c>
      <c r="C104" s="257" t="str">
        <f aca="false">C86</f>
        <v>GASOLINA</v>
      </c>
      <c r="D104" s="261" t="n">
        <f aca="false">D86*'0.DADES'!$E$68</f>
        <v>0</v>
      </c>
      <c r="E104" s="261" t="n">
        <f aca="false">E86*'0.DADES'!$E$68</f>
        <v>0</v>
      </c>
      <c r="F104" s="261" t="n">
        <f aca="false">F86*'0.DADES'!$E$68</f>
        <v>0</v>
      </c>
      <c r="G104" s="261" t="n">
        <f aca="false">G86*'0.DADES'!$E$68</f>
        <v>0</v>
      </c>
      <c r="H104" s="261" t="n">
        <f aca="false">H86*'0.DADES'!$E$68</f>
        <v>0</v>
      </c>
      <c r="I104" s="261" t="n">
        <f aca="false">I86*'0.DADES'!$E$68</f>
        <v>0</v>
      </c>
    </row>
    <row r="105" customFormat="false" ht="13.5" hidden="false" customHeight="false" outlineLevel="0" collapsed="false">
      <c r="A105" s="257" t="n">
        <f aca="false">A87</f>
        <v>0</v>
      </c>
      <c r="B105" s="257" t="n">
        <f aca="false">B87</f>
        <v>0</v>
      </c>
      <c r="C105" s="257" t="str">
        <f aca="false">C87</f>
        <v>GASOLINA</v>
      </c>
      <c r="D105" s="261" t="n">
        <f aca="false">D87*'0.DADES'!$E$68</f>
        <v>0</v>
      </c>
      <c r="E105" s="261" t="n">
        <f aca="false">E87*'0.DADES'!$E$68</f>
        <v>0</v>
      </c>
      <c r="F105" s="261" t="n">
        <f aca="false">F87*'0.DADES'!$E$68</f>
        <v>0</v>
      </c>
      <c r="G105" s="261" t="n">
        <f aca="false">G87*'0.DADES'!$E$68</f>
        <v>0</v>
      </c>
      <c r="H105" s="261" t="n">
        <f aca="false">H87*'0.DADES'!$E$68</f>
        <v>0</v>
      </c>
      <c r="I105" s="261" t="n">
        <f aca="false">I87*'0.DADES'!$E$68</f>
        <v>0</v>
      </c>
    </row>
    <row r="106" customFormat="false" ht="13.5" hidden="false" customHeight="false" outlineLevel="0" collapsed="false">
      <c r="A106" s="257" t="n">
        <f aca="false">A88</f>
        <v>0</v>
      </c>
      <c r="B106" s="257" t="n">
        <f aca="false">B88</f>
        <v>0</v>
      </c>
      <c r="C106" s="257" t="str">
        <f aca="false">C88</f>
        <v>GASOLINA</v>
      </c>
      <c r="D106" s="261" t="n">
        <f aca="false">D88*'0.DADES'!$E$68</f>
        <v>0</v>
      </c>
      <c r="E106" s="261" t="n">
        <f aca="false">E88*'0.DADES'!$E$68</f>
        <v>0</v>
      </c>
      <c r="F106" s="261" t="n">
        <f aca="false">F88*'0.DADES'!$E$68</f>
        <v>0</v>
      </c>
      <c r="G106" s="261" t="n">
        <f aca="false">G88*'0.DADES'!$E$68</f>
        <v>0</v>
      </c>
      <c r="H106" s="261" t="n">
        <f aca="false">H88*'0.DADES'!$E$68</f>
        <v>0</v>
      </c>
      <c r="I106" s="261" t="n">
        <f aca="false">I88*'0.DADES'!$E$68</f>
        <v>0</v>
      </c>
    </row>
    <row r="107" customFormat="false" ht="13.5" hidden="false" customHeight="false" outlineLevel="0" collapsed="false">
      <c r="A107" s="257" t="n">
        <f aca="false">A89</f>
        <v>0</v>
      </c>
      <c r="B107" s="257" t="n">
        <f aca="false">B89</f>
        <v>0</v>
      </c>
      <c r="C107" s="257" t="str">
        <f aca="false">C89</f>
        <v>GASOLINA</v>
      </c>
      <c r="D107" s="261" t="n">
        <f aca="false">D89*'0.DADES'!$E$68</f>
        <v>0</v>
      </c>
      <c r="E107" s="261" t="n">
        <f aca="false">E89*'0.DADES'!$E$68</f>
        <v>0</v>
      </c>
      <c r="F107" s="261" t="n">
        <f aca="false">F89*'0.DADES'!$E$68</f>
        <v>0</v>
      </c>
      <c r="G107" s="261" t="n">
        <f aca="false">G89*'0.DADES'!$E$68</f>
        <v>0</v>
      </c>
      <c r="H107" s="261" t="n">
        <f aca="false">H89*'0.DADES'!$E$68</f>
        <v>0</v>
      </c>
      <c r="I107" s="261" t="n">
        <f aca="false">I89*'0.DADES'!$E$68</f>
        <v>0</v>
      </c>
    </row>
    <row r="108" customFormat="false" ht="13.5" hidden="false" customHeight="false" outlineLevel="0" collapsed="false">
      <c r="A108" s="257" t="n">
        <f aca="false">A90</f>
        <v>0</v>
      </c>
      <c r="B108" s="257" t="n">
        <f aca="false">B90</f>
        <v>0</v>
      </c>
      <c r="C108" s="257" t="str">
        <f aca="false">C90</f>
        <v>GASOLINA</v>
      </c>
      <c r="D108" s="261" t="n">
        <f aca="false">D90*'0.DADES'!$E$68</f>
        <v>0</v>
      </c>
      <c r="E108" s="261" t="n">
        <f aca="false">E90*'0.DADES'!$E$68</f>
        <v>0</v>
      </c>
      <c r="F108" s="261" t="n">
        <f aca="false">F90*'0.DADES'!$E$68</f>
        <v>0</v>
      </c>
      <c r="G108" s="261" t="n">
        <f aca="false">G90*'0.DADES'!$E$68</f>
        <v>0</v>
      </c>
      <c r="H108" s="261" t="n">
        <f aca="false">H90*'0.DADES'!$E$68</f>
        <v>0</v>
      </c>
      <c r="I108" s="261" t="n">
        <f aca="false">I90*'0.DADES'!$E$68</f>
        <v>0</v>
      </c>
    </row>
    <row r="109" customFormat="false" ht="13.5" hidden="false" customHeight="false" outlineLevel="0" collapsed="false">
      <c r="A109" s="257" t="n">
        <f aca="false">A91</f>
        <v>0</v>
      </c>
      <c r="B109" s="257" t="n">
        <f aca="false">B91</f>
        <v>0</v>
      </c>
      <c r="C109" s="257" t="str">
        <f aca="false">C91</f>
        <v>GASOLINA</v>
      </c>
      <c r="D109" s="261" t="n">
        <f aca="false">D91*'0.DADES'!$E$68</f>
        <v>0</v>
      </c>
      <c r="E109" s="261" t="n">
        <f aca="false">E91*'0.DADES'!$E$68</f>
        <v>0</v>
      </c>
      <c r="F109" s="261" t="n">
        <f aca="false">F91*'0.DADES'!$E$68</f>
        <v>0</v>
      </c>
      <c r="G109" s="261" t="n">
        <f aca="false">G91*'0.DADES'!$E$68</f>
        <v>0</v>
      </c>
      <c r="H109" s="261" t="n">
        <f aca="false">H91*'0.DADES'!$E$68</f>
        <v>0</v>
      </c>
      <c r="I109" s="261" t="n">
        <f aca="false">I91*'0.DADES'!$E$68</f>
        <v>0</v>
      </c>
    </row>
    <row r="110" customFormat="false" ht="13.5" hidden="false" customHeight="false" outlineLevel="0" collapsed="false">
      <c r="A110" s="257" t="s">
        <v>272</v>
      </c>
      <c r="B110" s="257" t="s">
        <v>86</v>
      </c>
      <c r="C110" s="257" t="s">
        <v>86</v>
      </c>
      <c r="D110" s="263" t="n">
        <f aca="false">SUM(D96:D109)</f>
        <v>0</v>
      </c>
      <c r="E110" s="263" t="n">
        <f aca="false">SUM(E96:E109)</f>
        <v>0</v>
      </c>
      <c r="F110" s="263" t="n">
        <f aca="false">SUM(F96:F109)</f>
        <v>0</v>
      </c>
      <c r="G110" s="263" t="n">
        <f aca="false">SUM(G96:G109)</f>
        <v>0</v>
      </c>
      <c r="H110" s="263" t="n">
        <f aca="false">SUM(H96:H109)</f>
        <v>0</v>
      </c>
      <c r="I110" s="263" t="n">
        <f aca="false">SUM(I96:I109)</f>
        <v>0</v>
      </c>
    </row>
  </sheetData>
  <mergeCells count="7">
    <mergeCell ref="B3:F3"/>
    <mergeCell ref="D16:I16"/>
    <mergeCell ref="J16:O16"/>
    <mergeCell ref="D45:I45"/>
    <mergeCell ref="D76:I76"/>
    <mergeCell ref="J76:O76"/>
    <mergeCell ref="D94:I94"/>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tabColor rgb="FF92D050"/>
    <pageSetUpPr fitToPage="false"/>
  </sheetPr>
  <dimension ref="A1:R42"/>
  <sheetViews>
    <sheetView windowProtection="false" showFormulas="false" showGridLines="true" showRowColHeaders="true" showZeros="true" rightToLeft="false" tabSelected="false" showOutlineSymbols="true" defaultGridColor="true" view="normal" topLeftCell="A19" colorId="64" zoomScale="70" zoomScaleNormal="70" zoomScalePageLayoutView="100" workbookViewId="0">
      <selection pane="topLeft" activeCell="G40" activeCellId="0" sqref="G40"/>
    </sheetView>
  </sheetViews>
  <sheetFormatPr defaultRowHeight="12.75"/>
  <cols>
    <col collapsed="false" hidden="false" max="1" min="1" style="0" width="68.0357142857143"/>
    <col collapsed="false" hidden="false" max="17" min="2" style="0" width="18.4948979591837"/>
    <col collapsed="false" hidden="false" max="1025" min="18" style="0" width="10.530612244898"/>
  </cols>
  <sheetData>
    <row r="1" s="270" customFormat="true" ht="12.75" hidden="false" customHeight="true" outlineLevel="0" collapsed="false">
      <c r="A1" s="268"/>
      <c r="B1" s="269" t="n">
        <v>2005</v>
      </c>
      <c r="C1" s="269" t="n">
        <v>2006</v>
      </c>
      <c r="D1" s="269" t="n">
        <v>2007</v>
      </c>
      <c r="E1" s="269" t="n">
        <v>2008</v>
      </c>
      <c r="F1" s="269" t="n">
        <v>2009</v>
      </c>
      <c r="G1" s="269" t="n">
        <v>2010</v>
      </c>
      <c r="H1" s="269" t="n">
        <v>2011</v>
      </c>
      <c r="I1" s="269" t="n">
        <v>2012</v>
      </c>
      <c r="J1" s="269" t="n">
        <v>2013</v>
      </c>
      <c r="K1" s="269" t="n">
        <v>2014</v>
      </c>
      <c r="L1" s="269" t="n">
        <v>2015</v>
      </c>
      <c r="M1" s="269" t="n">
        <v>2016</v>
      </c>
      <c r="N1" s="269" t="n">
        <v>2017</v>
      </c>
      <c r="O1" s="269" t="n">
        <v>2018</v>
      </c>
      <c r="P1" s="269" t="n">
        <v>2019</v>
      </c>
      <c r="Q1" s="269" t="n">
        <v>2020</v>
      </c>
    </row>
    <row r="2" customFormat="false" ht="15" hidden="false" customHeight="false" outlineLevel="0" collapsed="false">
      <c r="A2" s="271" t="s">
        <v>541</v>
      </c>
      <c r="B2" s="272" t="n">
        <f aca="false">'T. PAES'!$B$73</f>
        <v>108405.291650738</v>
      </c>
      <c r="C2" s="272" t="n">
        <f aca="false">'T. PAES'!$C$73</f>
        <v>119420.133734413</v>
      </c>
      <c r="D2" s="272" t="n">
        <f aca="false">'T. PAES'!$D$73</f>
        <v>117400.328858971</v>
      </c>
      <c r="E2" s="272" t="n">
        <f aca="false">'T. PAES'!$E$73</f>
        <v>113922.710818251</v>
      </c>
      <c r="F2" s="272" t="n">
        <f aca="false">'T. PAES'!$F$73</f>
        <v>112219.353476544</v>
      </c>
      <c r="G2" s="273" t="n">
        <f aca="false">F2*$B3+F2</f>
        <v>113206.416805497</v>
      </c>
      <c r="H2" s="273" t="n">
        <f aca="false">G2*$B3+G2</f>
        <v>114202.162184249</v>
      </c>
      <c r="I2" s="273" t="n">
        <f aca="false">H2*$B3+H2</f>
        <v>115206.66597871</v>
      </c>
      <c r="J2" s="273" t="n">
        <f aca="false">I2*$B3+I2</f>
        <v>116220.005226492</v>
      </c>
      <c r="K2" s="273" t="n">
        <f aca="false">J2*$B3+J2</f>
        <v>117242.257642817</v>
      </c>
      <c r="L2" s="273" t="n">
        <f aca="false">K2*$B3+K2</f>
        <v>118273.501626476</v>
      </c>
      <c r="M2" s="273" t="n">
        <f aca="false">L2*$B3+L2</f>
        <v>119313.816265847</v>
      </c>
      <c r="N2" s="273" t="n">
        <f aca="false">M2*$B3+M2</f>
        <v>120363.281344952</v>
      </c>
      <c r="O2" s="273" t="n">
        <f aca="false">N2*$B3+N2</f>
        <v>121421.977349584</v>
      </c>
      <c r="P2" s="273" t="n">
        <f aca="false">O2*$B3+O2</f>
        <v>122489.985473475</v>
      </c>
      <c r="Q2" s="273" t="n">
        <f aca="false">P2*$B3+P2</f>
        <v>123567.387624523</v>
      </c>
      <c r="R2" s="274"/>
    </row>
    <row r="3" customFormat="false" ht="15" hidden="false" customHeight="false" outlineLevel="0" collapsed="false">
      <c r="A3" s="275" t="s">
        <v>542</v>
      </c>
      <c r="B3" s="276" t="n">
        <f aca="false">(F2-B2)/B2/4</f>
        <v>0.00879583867108124</v>
      </c>
      <c r="C3" s="277"/>
      <c r="D3" s="278"/>
      <c r="E3" s="277"/>
      <c r="F3" s="277"/>
      <c r="G3" s="278"/>
      <c r="H3" s="277"/>
      <c r="I3" s="277"/>
      <c r="J3" s="277"/>
      <c r="K3" s="277"/>
      <c r="L3" s="277"/>
      <c r="M3" s="277"/>
      <c r="N3" s="277"/>
      <c r="O3" s="277"/>
      <c r="P3" s="277"/>
      <c r="Q3" s="279"/>
    </row>
    <row r="4" customFormat="false" ht="15" hidden="false" customHeight="false" outlineLevel="0" collapsed="false">
      <c r="A4" s="280" t="s">
        <v>543</v>
      </c>
      <c r="B4" s="281" t="n">
        <f aca="false">B2</f>
        <v>108405.291650738</v>
      </c>
      <c r="C4" s="281" t="n">
        <f aca="false">C2</f>
        <v>119420.133734413</v>
      </c>
      <c r="D4" s="281" t="n">
        <f aca="false">D2</f>
        <v>117400.328858971</v>
      </c>
      <c r="E4" s="281" t="n">
        <f aca="false">E2</f>
        <v>113922.710818251</v>
      </c>
      <c r="F4" s="281" t="n">
        <f aca="false">F2</f>
        <v>112219.353476544</v>
      </c>
      <c r="G4" s="281" t="n">
        <f aca="false">F4+$B9</f>
        <v>110944.597468746</v>
      </c>
      <c r="H4" s="281" t="n">
        <f aca="false">G4+$B9</f>
        <v>109669.841460949</v>
      </c>
      <c r="I4" s="281" t="n">
        <f aca="false">H4+$B9</f>
        <v>108395.085453151</v>
      </c>
      <c r="J4" s="281" t="n">
        <f aca="false">I4+$B11</f>
        <v>105845.573437556</v>
      </c>
      <c r="K4" s="281" t="n">
        <f aca="false">J4+$B11</f>
        <v>103296.06142196</v>
      </c>
      <c r="L4" s="281" t="n">
        <f aca="false">K4+$B11</f>
        <v>100746.549406365</v>
      </c>
      <c r="M4" s="281" t="n">
        <f aca="false">L4+$B13</f>
        <v>97942.0861892101</v>
      </c>
      <c r="N4" s="281" t="n">
        <f aca="false">M4+$B13</f>
        <v>95137.6229720553</v>
      </c>
      <c r="O4" s="281" t="n">
        <f aca="false">N4+$B13</f>
        <v>92333.1597549004</v>
      </c>
      <c r="P4" s="281" t="n">
        <f aca="false">O4+$B13</f>
        <v>89528.6965377455</v>
      </c>
      <c r="Q4" s="281" t="n">
        <f aca="false">P4+$B13</f>
        <v>86724.2333205907</v>
      </c>
      <c r="R4" s="282"/>
    </row>
    <row r="5" customFormat="false" ht="15" hidden="false" customHeight="false" outlineLevel="0" collapsed="false">
      <c r="A5" s="280" t="s">
        <v>544</v>
      </c>
      <c r="B5" s="281" t="n">
        <f aca="false">Q9-F4</f>
        <v>-25495.1201559533</v>
      </c>
      <c r="C5" s="278"/>
      <c r="D5" s="278"/>
      <c r="E5" s="278"/>
      <c r="F5" s="278"/>
      <c r="G5" s="278"/>
      <c r="H5" s="278"/>
      <c r="I5" s="278"/>
      <c r="J5" s="278"/>
      <c r="K5" s="278"/>
      <c r="L5" s="278"/>
      <c r="M5" s="278"/>
      <c r="N5" s="278"/>
      <c r="O5" s="278"/>
      <c r="P5" s="278"/>
      <c r="Q5" s="278"/>
      <c r="R5" s="282"/>
    </row>
    <row r="6" customFormat="false" ht="15" hidden="false" customHeight="false" outlineLevel="0" collapsed="false">
      <c r="A6" s="280" t="s">
        <v>545</v>
      </c>
      <c r="B6" s="273" t="n">
        <v>0.15</v>
      </c>
      <c r="C6" s="278"/>
      <c r="D6" s="278"/>
      <c r="E6" s="278"/>
      <c r="F6" s="278"/>
      <c r="G6" s="278"/>
      <c r="H6" s="278"/>
      <c r="I6" s="278"/>
      <c r="J6" s="278"/>
      <c r="K6" s="278"/>
      <c r="L6" s="278"/>
      <c r="M6" s="278"/>
      <c r="N6" s="278"/>
      <c r="O6" s="278"/>
      <c r="P6" s="278"/>
      <c r="Q6" s="278"/>
      <c r="R6" s="282"/>
    </row>
    <row r="7" customFormat="false" ht="15" hidden="false" customHeight="false" outlineLevel="0" collapsed="false">
      <c r="A7" s="280" t="s">
        <v>546</v>
      </c>
      <c r="B7" s="273" t="n">
        <v>0.3</v>
      </c>
      <c r="C7" s="278"/>
      <c r="D7" s="278"/>
      <c r="E7" s="278"/>
      <c r="F7" s="278"/>
      <c r="G7" s="278"/>
      <c r="H7" s="278"/>
      <c r="I7" s="278"/>
      <c r="J7" s="278"/>
      <c r="K7" s="278"/>
      <c r="L7" s="278"/>
      <c r="M7" s="278"/>
      <c r="N7" s="278"/>
      <c r="O7" s="278"/>
      <c r="P7" s="278"/>
      <c r="Q7" s="278"/>
      <c r="R7" s="282"/>
    </row>
    <row r="8" customFormat="false" ht="15" hidden="false" customHeight="false" outlineLevel="0" collapsed="false">
      <c r="A8" s="280" t="s">
        <v>547</v>
      </c>
      <c r="B8" s="273" t="n">
        <v>0.55</v>
      </c>
      <c r="C8" s="278"/>
      <c r="D8" s="278"/>
      <c r="E8" s="278"/>
      <c r="F8" s="278"/>
      <c r="G8" s="278"/>
      <c r="H8" s="278"/>
      <c r="I8" s="278"/>
      <c r="J8" s="278"/>
      <c r="K8" s="278"/>
      <c r="L8" s="278"/>
      <c r="M8" s="278"/>
      <c r="N8" s="278"/>
      <c r="O8" s="278"/>
      <c r="P8" s="278"/>
      <c r="Q8" s="278"/>
      <c r="R8" s="282"/>
    </row>
    <row r="9" customFormat="false" ht="13.5" hidden="false" customHeight="true" outlineLevel="0" collapsed="false">
      <c r="A9" s="280" t="s">
        <v>548</v>
      </c>
      <c r="B9" s="273" t="n">
        <f aca="false">$B$5*$B$6/3</f>
        <v>-1274.75600779766</v>
      </c>
      <c r="C9" s="277"/>
      <c r="D9" s="278"/>
      <c r="E9" s="277"/>
      <c r="F9" s="277"/>
      <c r="G9" s="278"/>
      <c r="H9" s="277"/>
      <c r="I9" s="277"/>
      <c r="J9" s="277"/>
      <c r="K9" s="277"/>
      <c r="L9" s="277"/>
      <c r="M9" s="277"/>
      <c r="N9" s="277"/>
      <c r="O9" s="277"/>
      <c r="P9" s="278"/>
      <c r="Q9" s="283" t="n">
        <f aca="false">B4*0.8</f>
        <v>86724.2333205907</v>
      </c>
    </row>
    <row r="10" customFormat="false" ht="13.5" hidden="false" customHeight="true" outlineLevel="0" collapsed="false">
      <c r="A10" s="280" t="s">
        <v>549</v>
      </c>
      <c r="B10" s="276" t="n">
        <f aca="false">(I4-F4)/F4/3</f>
        <v>-0.0113595023345426</v>
      </c>
      <c r="C10" s="277"/>
      <c r="D10" s="278"/>
      <c r="E10" s="277"/>
      <c r="F10" s="277"/>
      <c r="G10" s="278"/>
      <c r="H10" s="277"/>
      <c r="I10" s="277"/>
      <c r="J10" s="277"/>
      <c r="K10" s="277"/>
      <c r="L10" s="277"/>
      <c r="M10" s="277"/>
      <c r="N10" s="277"/>
      <c r="O10" s="277"/>
      <c r="P10" s="278"/>
      <c r="Q10" s="283"/>
    </row>
    <row r="11" customFormat="false" ht="13.5" hidden="false" customHeight="true" outlineLevel="0" collapsed="false">
      <c r="A11" s="280" t="s">
        <v>550</v>
      </c>
      <c r="B11" s="273" t="n">
        <f aca="false">$B$5*$B$7/3</f>
        <v>-2549.51201559533</v>
      </c>
      <c r="C11" s="277"/>
      <c r="D11" s="278"/>
      <c r="E11" s="277"/>
      <c r="F11" s="277"/>
      <c r="G11" s="278"/>
      <c r="H11" s="277"/>
      <c r="I11" s="277"/>
      <c r="J11" s="277"/>
      <c r="K11" s="277"/>
      <c r="L11" s="277"/>
      <c r="M11" s="277"/>
      <c r="N11" s="277"/>
      <c r="O11" s="277"/>
      <c r="P11" s="278"/>
      <c r="Q11" s="283"/>
    </row>
    <row r="12" customFormat="false" ht="13.5" hidden="false" customHeight="true" outlineLevel="0" collapsed="false">
      <c r="A12" s="280" t="s">
        <v>551</v>
      </c>
      <c r="B12" s="276" t="n">
        <f aca="false">(L4-I4)/I4/3</f>
        <v>-0.0235205498933552</v>
      </c>
      <c r="C12" s="277"/>
      <c r="D12" s="278"/>
      <c r="E12" s="277"/>
      <c r="F12" s="277"/>
      <c r="G12" s="278"/>
      <c r="H12" s="277"/>
      <c r="I12" s="277"/>
      <c r="J12" s="277"/>
      <c r="K12" s="277"/>
      <c r="L12" s="277"/>
      <c r="M12" s="277"/>
      <c r="N12" s="277"/>
      <c r="O12" s="277"/>
      <c r="P12" s="278"/>
      <c r="Q12" s="283"/>
    </row>
    <row r="13" customFormat="false" ht="13.5" hidden="false" customHeight="true" outlineLevel="0" collapsed="false">
      <c r="A13" s="280" t="s">
        <v>552</v>
      </c>
      <c r="B13" s="273" t="n">
        <f aca="false">$B$5*$B$8/5</f>
        <v>-2804.46321715486</v>
      </c>
      <c r="C13" s="277"/>
      <c r="D13" s="278"/>
      <c r="E13" s="277"/>
      <c r="F13" s="277"/>
      <c r="G13" s="278"/>
      <c r="H13" s="277"/>
      <c r="I13" s="277"/>
      <c r="J13" s="277"/>
      <c r="K13" s="277"/>
      <c r="L13" s="277"/>
      <c r="M13" s="277"/>
      <c r="N13" s="277"/>
      <c r="O13" s="277"/>
      <c r="P13" s="278"/>
      <c r="Q13" s="283"/>
    </row>
    <row r="14" customFormat="false" ht="13.5" hidden="false" customHeight="true" outlineLevel="0" collapsed="false">
      <c r="A14" s="280" t="s">
        <v>553</v>
      </c>
      <c r="B14" s="276" t="n">
        <f aca="false">(Q4-L4)/L4/5</f>
        <v>-0.0278368165826003</v>
      </c>
      <c r="C14" s="277"/>
      <c r="D14" s="278"/>
      <c r="E14" s="277"/>
      <c r="F14" s="277"/>
      <c r="G14" s="278"/>
      <c r="H14" s="277"/>
      <c r="I14" s="277"/>
      <c r="J14" s="277"/>
      <c r="K14" s="277"/>
      <c r="L14" s="277"/>
      <c r="M14" s="277"/>
      <c r="N14" s="277"/>
      <c r="O14" s="277"/>
      <c r="P14" s="278"/>
      <c r="Q14" s="283"/>
    </row>
    <row r="15" s="275" customFormat="true" ht="15" hidden="false" customHeight="false" outlineLevel="0" collapsed="false">
      <c r="A15" s="284" t="s">
        <v>554</v>
      </c>
      <c r="B15" s="281" t="n">
        <f aca="false">B2</f>
        <v>108405.291650738</v>
      </c>
      <c r="C15" s="281" t="n">
        <f aca="false">C2</f>
        <v>119420.133734413</v>
      </c>
      <c r="D15" s="281" t="n">
        <f aca="false">D2</f>
        <v>117400.328858971</v>
      </c>
      <c r="E15" s="281" t="n">
        <f aca="false">E2</f>
        <v>113922.710818251</v>
      </c>
      <c r="F15" s="281" t="n">
        <f aca="false">F2</f>
        <v>112219.353476544</v>
      </c>
      <c r="G15" s="281" t="n">
        <f aca="false">F15+$B17</f>
        <v>111872.620583289</v>
      </c>
      <c r="H15" s="281" t="n">
        <f aca="false">G15+$B17</f>
        <v>111525.887690034</v>
      </c>
      <c r="I15" s="281" t="n">
        <f aca="false">H15+$B17</f>
        <v>111179.154796779</v>
      </c>
      <c r="J15" s="281" t="n">
        <f aca="false">I15+$B17</f>
        <v>110832.421903524</v>
      </c>
      <c r="K15" s="281" t="n">
        <f aca="false">J15+$B17</f>
        <v>110485.689010269</v>
      </c>
      <c r="L15" s="281" t="n">
        <f aca="false">K15+$B17</f>
        <v>110138.956117014</v>
      </c>
      <c r="M15" s="281" t="n">
        <f aca="false">L15+$B17</f>
        <v>109792.223223759</v>
      </c>
      <c r="N15" s="281" t="n">
        <f aca="false">M15+$B17</f>
        <v>109445.490330504</v>
      </c>
      <c r="O15" s="281" t="n">
        <f aca="false">N15+$B17</f>
        <v>109098.757437248</v>
      </c>
      <c r="P15" s="281" t="n">
        <f aca="false">O15+$B17</f>
        <v>108752.024543993</v>
      </c>
      <c r="Q15" s="281" t="n">
        <f aca="false">B15-B16</f>
        <v>108405.291650738</v>
      </c>
    </row>
    <row r="16" customFormat="false" ht="15" hidden="false" customHeight="false" outlineLevel="0" collapsed="false">
      <c r="A16" s="284" t="s">
        <v>555</v>
      </c>
      <c r="B16" s="285"/>
      <c r="C16" s="278"/>
      <c r="D16" s="278"/>
      <c r="E16" s="278"/>
      <c r="F16" s="278"/>
      <c r="G16" s="278"/>
      <c r="H16" s="277"/>
      <c r="I16" s="277"/>
      <c r="J16" s="286"/>
      <c r="K16" s="277"/>
      <c r="L16" s="277"/>
      <c r="M16" s="277"/>
      <c r="N16" s="277"/>
      <c r="O16" s="277"/>
      <c r="P16" s="277"/>
      <c r="Q16" s="283" t="n">
        <f aca="false">P15+B17</f>
        <v>108405.291650738</v>
      </c>
    </row>
    <row r="17" customFormat="false" ht="15" hidden="false" customHeight="false" outlineLevel="0" collapsed="false">
      <c r="A17" s="284" t="s">
        <v>556</v>
      </c>
      <c r="B17" s="281" t="n">
        <f aca="false">(Q15-F15)/11</f>
        <v>-346.732893255056</v>
      </c>
      <c r="C17" s="278"/>
      <c r="D17" s="278"/>
      <c r="E17" s="278"/>
      <c r="F17" s="278"/>
      <c r="G17" s="278"/>
      <c r="H17" s="277"/>
      <c r="I17" s="277"/>
      <c r="J17" s="286"/>
      <c r="K17" s="277"/>
      <c r="L17" s="277"/>
      <c r="M17" s="277"/>
      <c r="N17" s="277"/>
      <c r="O17" s="277"/>
      <c r="P17" s="277"/>
      <c r="Q17" s="278"/>
    </row>
    <row r="18" customFormat="false" ht="15" hidden="false" customHeight="false" outlineLevel="0" collapsed="false">
      <c r="A18" s="287" t="s">
        <v>557</v>
      </c>
      <c r="B18" s="281" t="n">
        <f aca="false">B2</f>
        <v>108405.291650738</v>
      </c>
      <c r="C18" s="281" t="n">
        <f aca="false">C2</f>
        <v>119420.133734413</v>
      </c>
      <c r="D18" s="281" t="n">
        <f aca="false">D2</f>
        <v>117400.328858971</v>
      </c>
      <c r="E18" s="281" t="n">
        <f aca="false">E2</f>
        <v>113922.710818251</v>
      </c>
      <c r="F18" s="281" t="n">
        <f aca="false">F2</f>
        <v>112219.353476544</v>
      </c>
      <c r="G18" s="281" t="n">
        <f aca="false">F18+$B20</f>
        <v>111872.620583289</v>
      </c>
      <c r="H18" s="281" t="n">
        <f aca="false">G18+$B20</f>
        <v>111525.887690034</v>
      </c>
      <c r="I18" s="281" t="n">
        <f aca="false">H18+$B20</f>
        <v>111179.154796779</v>
      </c>
      <c r="J18" s="281" t="n">
        <f aca="false">I18+$B20</f>
        <v>110832.421903524</v>
      </c>
      <c r="K18" s="281" t="n">
        <f aca="false">J18+$B20</f>
        <v>110485.689010269</v>
      </c>
      <c r="L18" s="281" t="n">
        <f aca="false">K18+$B20</f>
        <v>110138.956117014</v>
      </c>
      <c r="M18" s="281" t="n">
        <f aca="false">L18+$B20</f>
        <v>109792.223223759</v>
      </c>
      <c r="N18" s="281" t="n">
        <f aca="false">M18+$B20</f>
        <v>109445.490330504</v>
      </c>
      <c r="O18" s="281" t="n">
        <f aca="false">N18+$B20</f>
        <v>109098.757437248</v>
      </c>
      <c r="P18" s="281" t="n">
        <f aca="false">O18+$B20</f>
        <v>108752.024543993</v>
      </c>
      <c r="Q18" s="281" t="n">
        <f aca="false">B18-B19</f>
        <v>108405.291650738</v>
      </c>
    </row>
    <row r="19" customFormat="false" ht="15" hidden="false" customHeight="false" outlineLevel="0" collapsed="false">
      <c r="A19" s="287" t="s">
        <v>558</v>
      </c>
      <c r="B19" s="285"/>
      <c r="C19" s="278"/>
      <c r="D19" s="278"/>
      <c r="E19" s="278"/>
      <c r="F19" s="278"/>
      <c r="G19" s="278"/>
      <c r="H19" s="277"/>
      <c r="I19" s="277"/>
      <c r="J19" s="286"/>
      <c r="K19" s="277"/>
      <c r="L19" s="277"/>
      <c r="M19" s="277"/>
      <c r="N19" s="277"/>
      <c r="O19" s="277"/>
      <c r="P19" s="277"/>
      <c r="Q19" s="283" t="n">
        <f aca="false">P18+B20</f>
        <v>108405.291650738</v>
      </c>
    </row>
    <row r="20" customFormat="false" ht="15" hidden="false" customHeight="false" outlineLevel="0" collapsed="false">
      <c r="A20" s="287" t="s">
        <v>556</v>
      </c>
      <c r="B20" s="281" t="n">
        <f aca="false">(Q18-F18)/11</f>
        <v>-346.732893255056</v>
      </c>
      <c r="C20" s="278"/>
      <c r="D20" s="278"/>
      <c r="E20" s="278"/>
      <c r="F20" s="278"/>
      <c r="G20" s="278"/>
      <c r="H20" s="277"/>
      <c r="I20" s="277"/>
      <c r="J20" s="286"/>
      <c r="K20" s="277"/>
      <c r="L20" s="277"/>
      <c r="M20" s="277"/>
      <c r="N20" s="277"/>
      <c r="O20" s="277"/>
      <c r="P20" s="277"/>
      <c r="Q20" s="278"/>
    </row>
    <row r="21" customFormat="false" ht="15" hidden="false" customHeight="false" outlineLevel="0" collapsed="false">
      <c r="A21" s="288" t="s">
        <v>559</v>
      </c>
      <c r="B21" s="281" t="n">
        <f aca="false">B2</f>
        <v>108405.291650738</v>
      </c>
      <c r="C21" s="281" t="n">
        <f aca="false">C2</f>
        <v>119420.133734413</v>
      </c>
      <c r="D21" s="281" t="n">
        <f aca="false">D2</f>
        <v>117400.328858971</v>
      </c>
      <c r="E21" s="281" t="n">
        <f aca="false">E2</f>
        <v>113922.710818251</v>
      </c>
      <c r="F21" s="281" t="n">
        <f aca="false">F2</f>
        <v>112219.353476544</v>
      </c>
      <c r="G21" s="281" t="n">
        <f aca="false">F21+$B23</f>
        <v>111872.620583289</v>
      </c>
      <c r="H21" s="281" t="n">
        <f aca="false">G21+$B23</f>
        <v>111525.887690034</v>
      </c>
      <c r="I21" s="281" t="n">
        <f aca="false">H21+$B23</f>
        <v>111179.154796779</v>
      </c>
      <c r="J21" s="281" t="n">
        <f aca="false">I21+$B23</f>
        <v>110832.421903524</v>
      </c>
      <c r="K21" s="281" t="n">
        <f aca="false">J21+$B23</f>
        <v>110485.689010269</v>
      </c>
      <c r="L21" s="281" t="n">
        <f aca="false">K21+$B23</f>
        <v>110138.956117014</v>
      </c>
      <c r="M21" s="281" t="n">
        <f aca="false">L21+$B23</f>
        <v>109792.223223759</v>
      </c>
      <c r="N21" s="281" t="n">
        <f aca="false">M21+$B23</f>
        <v>109445.490330504</v>
      </c>
      <c r="O21" s="281" t="n">
        <f aca="false">N21+$B23</f>
        <v>109098.757437248</v>
      </c>
      <c r="P21" s="281" t="n">
        <f aca="false">O21+$B23</f>
        <v>108752.024543993</v>
      </c>
      <c r="Q21" s="281" t="n">
        <f aca="false">B21-B22</f>
        <v>108405.291650738</v>
      </c>
    </row>
    <row r="22" s="270" customFormat="true" ht="15" hidden="false" customHeight="false" outlineLevel="0" collapsed="false">
      <c r="A22" s="288" t="s">
        <v>560</v>
      </c>
      <c r="B22" s="281" t="n">
        <f aca="false">B16+B19</f>
        <v>0</v>
      </c>
      <c r="C22" s="278"/>
      <c r="D22" s="278"/>
      <c r="E22" s="278"/>
      <c r="F22" s="278"/>
      <c r="G22" s="278"/>
      <c r="H22" s="277"/>
      <c r="I22" s="277"/>
      <c r="J22" s="286"/>
      <c r="K22" s="277"/>
      <c r="L22" s="277"/>
      <c r="M22" s="277"/>
      <c r="N22" s="277"/>
      <c r="O22" s="277"/>
      <c r="P22" s="277"/>
      <c r="Q22" s="283" t="n">
        <f aca="false">P21+B23</f>
        <v>108405.291650738</v>
      </c>
    </row>
    <row r="23" customFormat="false" ht="15" hidden="false" customHeight="false" outlineLevel="0" collapsed="false">
      <c r="A23" s="288" t="s">
        <v>561</v>
      </c>
      <c r="B23" s="281" t="n">
        <f aca="false">(Q21-F21)/11</f>
        <v>-346.732893255056</v>
      </c>
      <c r="C23" s="277"/>
      <c r="D23" s="278"/>
      <c r="E23" s="277"/>
      <c r="F23" s="277"/>
      <c r="G23" s="278"/>
      <c r="H23" s="277"/>
      <c r="I23" s="277"/>
      <c r="J23" s="286"/>
      <c r="K23" s="277"/>
      <c r="L23" s="277"/>
      <c r="M23" s="277"/>
      <c r="N23" s="277"/>
      <c r="O23" s="277"/>
      <c r="P23" s="277"/>
      <c r="Q23" s="278"/>
    </row>
    <row r="24" customFormat="false" ht="15" hidden="false" customHeight="false" outlineLevel="0" collapsed="false">
      <c r="C24" s="289"/>
    </row>
    <row r="25" s="289" customFormat="true" ht="15" hidden="false" customHeight="false" outlineLevel="0" collapsed="false">
      <c r="F25" s="290"/>
      <c r="G25" s="291"/>
      <c r="H25" s="292"/>
    </row>
    <row r="26" s="289" customFormat="true" ht="15" hidden="false" customHeight="false" outlineLevel="0" collapsed="false">
      <c r="A26" s="293" t="s">
        <v>562</v>
      </c>
      <c r="B26" s="294"/>
      <c r="C26" s="295"/>
      <c r="F26" s="0"/>
      <c r="G26" s="0"/>
      <c r="H26" s="0"/>
    </row>
    <row r="27" s="289" customFormat="true" ht="15" hidden="false" customHeight="false" outlineLevel="0" collapsed="false">
      <c r="A27" s="296" t="s">
        <v>563</v>
      </c>
      <c r="B27" s="297" t="n">
        <f aca="false">'T. PAES'!B73/'T. MUNICIPI'!B87</f>
        <v>0.921562275097933</v>
      </c>
      <c r="C27" s="297" t="n">
        <f aca="false">'T. PAES'!C73/'T. MUNICIPI'!C87</f>
        <v>0.923820450777852</v>
      </c>
      <c r="D27" s="297" t="n">
        <f aca="false">'T. PAES'!D73/'T. MUNICIPI'!D87</f>
        <v>0.925030363444932</v>
      </c>
      <c r="E27" s="297" t="n">
        <f aca="false">'T. PAES'!E73/'T. MUNICIPI'!E87</f>
        <v>0.927577620978492</v>
      </c>
      <c r="F27" s="297" t="n">
        <f aca="false">'T. PAES'!F73/'T. MUNICIPI'!F87</f>
        <v>0.938754288906581</v>
      </c>
      <c r="G27" s="297" t="n">
        <f aca="false">'T. PAES'!G73/'T. MUNICIPI'!G87</f>
        <v>0.946166856554306</v>
      </c>
      <c r="H27" s="0"/>
    </row>
    <row r="28" s="289" customFormat="true" ht="15" hidden="false" customHeight="false" outlineLevel="0" collapsed="false">
      <c r="A28" s="298" t="s">
        <v>564</v>
      </c>
      <c r="B28" s="299" t="n">
        <f aca="false">B2</f>
        <v>108405.291650738</v>
      </c>
      <c r="C28" s="0"/>
      <c r="D28" s="0"/>
      <c r="E28" s="0"/>
      <c r="F28" s="0"/>
      <c r="G28" s="0"/>
      <c r="H28" s="0"/>
    </row>
    <row r="29" s="289" customFormat="true" ht="15" hidden="false" customHeight="false" outlineLevel="0" collapsed="false">
      <c r="A29" s="298" t="s">
        <v>565</v>
      </c>
      <c r="B29" s="299" t="n">
        <f aca="false">B2*0.2</f>
        <v>21681.0583301477</v>
      </c>
      <c r="C29" s="0"/>
      <c r="D29" s="0"/>
      <c r="E29" s="0"/>
      <c r="F29" s="0"/>
      <c r="G29" s="0"/>
      <c r="H29" s="0"/>
    </row>
    <row r="30" s="289" customFormat="true" ht="15" hidden="false" customHeight="false" outlineLevel="0" collapsed="false">
      <c r="A30" s="298" t="s">
        <v>566</v>
      </c>
      <c r="B30" s="300" t="n">
        <f aca="false">Q4</f>
        <v>86724.2333205907</v>
      </c>
      <c r="C30" s="301"/>
      <c r="D30" s="295"/>
      <c r="E30" s="0"/>
      <c r="F30" s="0"/>
      <c r="G30" s="0"/>
      <c r="H30" s="0"/>
    </row>
    <row r="31" s="289" customFormat="true" ht="15" hidden="false" customHeight="false" outlineLevel="0" collapsed="false">
      <c r="A31" s="298" t="s">
        <v>567</v>
      </c>
      <c r="B31" s="300" t="n">
        <f aca="false">'T. PAES'!B81*0.2</f>
        <v>1.9643977829254</v>
      </c>
      <c r="C31" s="301"/>
      <c r="D31" s="295"/>
      <c r="E31" s="0"/>
      <c r="F31" s="0"/>
      <c r="G31" s="0"/>
      <c r="H31" s="0"/>
    </row>
    <row r="32" s="289" customFormat="true" ht="15" hidden="false" customHeight="false" outlineLevel="0" collapsed="false">
      <c r="A32" s="298" t="s">
        <v>568</v>
      </c>
      <c r="B32" s="300" t="n">
        <f aca="false">'T. PAES'!B81*0.8</f>
        <v>7.85759113170161</v>
      </c>
      <c r="C32" s="301"/>
      <c r="D32" s="295"/>
      <c r="E32" s="0"/>
      <c r="F32" s="0"/>
      <c r="G32" s="0"/>
      <c r="H32" s="0"/>
    </row>
    <row r="33" s="289" customFormat="true" ht="15" hidden="false" customHeight="false" outlineLevel="0" collapsed="false">
      <c r="A33" s="298" t="s">
        <v>569</v>
      </c>
      <c r="B33" s="302" t="n">
        <f aca="false">B3</f>
        <v>0.00879583867108124</v>
      </c>
      <c r="C33" s="0"/>
      <c r="D33" s="0"/>
      <c r="E33" s="0"/>
      <c r="F33" s="0"/>
      <c r="G33" s="0"/>
      <c r="H33" s="0"/>
    </row>
    <row r="34" s="289" customFormat="true" ht="15" hidden="false" customHeight="false" outlineLevel="0" collapsed="false">
      <c r="A34" s="298" t="s">
        <v>570</v>
      </c>
      <c r="B34" s="302" t="n">
        <f aca="false">B10</f>
        <v>-0.0113595023345426</v>
      </c>
      <c r="C34" s="0"/>
      <c r="D34" s="0"/>
      <c r="E34" s="0"/>
      <c r="F34" s="0"/>
      <c r="G34" s="0"/>
      <c r="H34" s="0"/>
    </row>
    <row r="35" s="289" customFormat="true" ht="15" hidden="false" customHeight="false" outlineLevel="0" collapsed="false">
      <c r="A35" s="298" t="s">
        <v>571</v>
      </c>
      <c r="B35" s="302" t="n">
        <f aca="false">B12</f>
        <v>-0.0235205498933552</v>
      </c>
      <c r="C35" s="0"/>
      <c r="D35" s="0"/>
      <c r="E35" s="0"/>
      <c r="F35" s="0"/>
      <c r="G35" s="0"/>
      <c r="H35" s="0"/>
    </row>
    <row r="36" s="289" customFormat="true" ht="15" hidden="false" customHeight="false" outlineLevel="0" collapsed="false">
      <c r="A36" s="298" t="s">
        <v>572</v>
      </c>
      <c r="B36" s="302" t="n">
        <f aca="false">B14</f>
        <v>-0.0278368165826003</v>
      </c>
      <c r="C36" s="0"/>
      <c r="D36" s="0"/>
      <c r="E36" s="0"/>
      <c r="F36" s="0"/>
      <c r="G36" s="0"/>
      <c r="H36" s="0"/>
    </row>
    <row r="37" s="289" customFormat="true" ht="15" hidden="false" customHeight="false" outlineLevel="0" collapsed="false">
      <c r="A37" s="298" t="s">
        <v>564</v>
      </c>
      <c r="B37" s="299" t="n">
        <f aca="false">B2</f>
        <v>108405.291650738</v>
      </c>
      <c r="C37" s="0"/>
      <c r="D37" s="0"/>
      <c r="E37" s="0"/>
      <c r="F37" s="0"/>
      <c r="G37" s="0"/>
      <c r="H37" s="0"/>
    </row>
    <row r="38" s="289" customFormat="true" ht="15" hidden="false" customHeight="false" outlineLevel="0" collapsed="false">
      <c r="A38" s="298" t="s">
        <v>565</v>
      </c>
      <c r="B38" s="299" t="n">
        <f aca="false">B2*0.2</f>
        <v>21681.0583301477</v>
      </c>
      <c r="C38" s="0"/>
      <c r="D38" s="0"/>
      <c r="E38" s="0"/>
      <c r="F38" s="0"/>
      <c r="G38" s="0"/>
      <c r="H38" s="0"/>
    </row>
    <row r="39" s="289" customFormat="true" ht="15" hidden="false" customHeight="false" outlineLevel="0" collapsed="false">
      <c r="A39" s="298" t="s">
        <v>573</v>
      </c>
      <c r="B39" s="303" t="n">
        <f aca="false">(F4-Q9)*0.2/B38/11</f>
        <v>0.0213803049713023</v>
      </c>
      <c r="C39" s="301"/>
      <c r="D39" s="295"/>
      <c r="E39" s="0"/>
      <c r="F39" s="0"/>
      <c r="G39" s="0"/>
      <c r="H39" s="0"/>
    </row>
    <row r="40" s="289" customFormat="true" ht="15" hidden="false" customHeight="false" outlineLevel="0" collapsed="false">
      <c r="A40" s="298" t="s">
        <v>574</v>
      </c>
      <c r="B40" s="300" t="n">
        <f aca="false">Q2</f>
        <v>123567.387624523</v>
      </c>
      <c r="C40" s="301"/>
      <c r="D40" s="295"/>
      <c r="E40" s="0"/>
      <c r="F40" s="0"/>
      <c r="G40" s="0"/>
      <c r="H40" s="0"/>
    </row>
    <row r="41" s="289" customFormat="true" ht="15" hidden="false" customHeight="false" outlineLevel="0" collapsed="false">
      <c r="A41" s="298" t="s">
        <v>575</v>
      </c>
      <c r="B41" s="300" t="n">
        <f aca="false">(Q2-Q4)</f>
        <v>36843.1543039319</v>
      </c>
      <c r="C41" s="295"/>
      <c r="D41" s="295"/>
      <c r="E41" s="0"/>
      <c r="F41" s="0"/>
      <c r="G41" s="0"/>
      <c r="H41" s="0"/>
    </row>
    <row r="42" s="289" customFormat="true" ht="15" hidden="false" customHeight="false" outlineLevel="0" collapsed="false">
      <c r="A42" s="298" t="s">
        <v>566</v>
      </c>
      <c r="B42" s="300" t="n">
        <f aca="false">Q4</f>
        <v>86724.2333205907</v>
      </c>
      <c r="C42" s="301"/>
      <c r="D42" s="295"/>
      <c r="E42" s="0"/>
      <c r="F42" s="0"/>
      <c r="G42" s="0"/>
      <c r="H42" s="0"/>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16.xml><?xml version="1.0" encoding="utf-8"?>
<worksheet xmlns="http://schemas.openxmlformats.org/spreadsheetml/2006/main" xmlns:r="http://schemas.openxmlformats.org/officeDocument/2006/relationships">
  <sheetPr filterMode="false">
    <tabColor rgb="FFFFFF00"/>
    <pageSetUpPr fitToPage="false"/>
  </sheetPr>
  <dimension ref="A1:Z169"/>
  <sheetViews>
    <sheetView windowProtection="false" showFormulas="false" showGridLines="true" showRowColHeaders="true" showZeros="true" rightToLeft="false" tabSelected="false" showOutlineSymbols="true" defaultGridColor="true" view="normal" topLeftCell="A55" colorId="64" zoomScale="85" zoomScaleNormal="85" zoomScalePageLayoutView="100" workbookViewId="0">
      <selection pane="topLeft" activeCell="G40" activeCellId="0" sqref="G40"/>
    </sheetView>
  </sheetViews>
  <sheetFormatPr defaultRowHeight="13.5"/>
  <cols>
    <col collapsed="false" hidden="false" max="1" min="1" style="73" width="13.5"/>
    <col collapsed="false" hidden="false" max="2" min="2" style="73" width="10.8010204081633"/>
    <col collapsed="false" hidden="false" max="7" min="3" style="73" width="9.85204081632653"/>
    <col collapsed="false" hidden="false" max="8" min="8" style="73" width="11.4744897959184"/>
    <col collapsed="false" hidden="false" max="9" min="9" style="73" width="13.0918367346939"/>
    <col collapsed="false" hidden="false" max="13" min="10" style="304" width="11.7448979591837"/>
    <col collapsed="false" hidden="false" max="14" min="14" style="73" width="20.5204081632653"/>
    <col collapsed="false" hidden="false" max="22" min="15" style="73" width="11.2040816326531"/>
    <col collapsed="false" hidden="false" max="26" min="23" style="304" width="11.7448979591837"/>
    <col collapsed="false" hidden="false" max="34" min="27" style="73" width="11.2040816326531"/>
    <col collapsed="false" hidden="false" max="35" min="35" style="73" width="12.4183673469388"/>
    <col collapsed="false" hidden="false" max="1025" min="36" style="73" width="11.2040816326531"/>
  </cols>
  <sheetData>
    <row r="1" customFormat="false" ht="13.5" hidden="false" customHeight="false" outlineLevel="0" collapsed="false">
      <c r="A1" s="83" t="str">
        <f aca="false">'0.DADES'!D2</f>
        <v>Andratx</v>
      </c>
    </row>
    <row r="3" customFormat="false" ht="13.5" hidden="false" customHeight="false" outlineLevel="0" collapsed="false">
      <c r="A3" s="305" t="s">
        <v>576</v>
      </c>
      <c r="B3" s="305"/>
      <c r="C3" s="305"/>
      <c r="D3" s="305"/>
      <c r="E3" s="305"/>
      <c r="F3" s="305"/>
      <c r="G3" s="305"/>
      <c r="H3" s="305"/>
    </row>
    <row r="4" customFormat="false" ht="13.5" hidden="false" customHeight="false" outlineLevel="0" collapsed="false">
      <c r="A4" s="305" t="s">
        <v>577</v>
      </c>
      <c r="B4" s="305"/>
      <c r="C4" s="305"/>
      <c r="D4" s="305"/>
      <c r="E4" s="305"/>
      <c r="F4" s="305"/>
      <c r="G4" s="305"/>
      <c r="H4" s="305"/>
    </row>
    <row r="5" customFormat="false" ht="13.5" hidden="false" customHeight="false" outlineLevel="0" collapsed="false">
      <c r="A5" s="305" t="s">
        <v>578</v>
      </c>
      <c r="B5" s="305"/>
      <c r="C5" s="305"/>
      <c r="D5" s="305"/>
      <c r="E5" s="305"/>
      <c r="F5" s="305"/>
      <c r="G5" s="305"/>
      <c r="H5" s="305"/>
    </row>
    <row r="6" customFormat="false" ht="13.5" hidden="false" customHeight="false" outlineLevel="0" collapsed="false">
      <c r="A6" s="305" t="s">
        <v>579</v>
      </c>
      <c r="B6" s="305"/>
      <c r="C6" s="305"/>
      <c r="D6" s="305"/>
      <c r="E6" s="305"/>
      <c r="F6" s="305"/>
      <c r="G6" s="305"/>
      <c r="H6" s="305"/>
    </row>
    <row r="8" customFormat="false" ht="14.25" hidden="false" customHeight="false" outlineLevel="0" collapsed="false"/>
    <row r="9" customFormat="false" ht="13.5" hidden="false" customHeight="false" outlineLevel="0" collapsed="false">
      <c r="B9" s="306" t="n">
        <f aca="false">'0.DADES'!D8</f>
        <v>2005</v>
      </c>
      <c r="C9" s="306" t="n">
        <f aca="false">'0.DADES'!E8</f>
        <v>2006</v>
      </c>
      <c r="D9" s="306" t="n">
        <f aca="false">'0.DADES'!F8</f>
        <v>2007</v>
      </c>
      <c r="E9" s="306" t="n">
        <f aca="false">'0.DADES'!G8</f>
        <v>2008</v>
      </c>
      <c r="F9" s="306" t="n">
        <f aca="false">'0.DADES'!H8</f>
        <v>2009</v>
      </c>
      <c r="G9" s="306" t="n">
        <f aca="false">'0.DADES'!I8</f>
        <v>2010</v>
      </c>
      <c r="H9" s="304"/>
      <c r="I9" s="304"/>
    </row>
    <row r="10" customFormat="false" ht="13.5" hidden="false" customHeight="false" outlineLevel="0" collapsed="false">
      <c r="A10" s="75" t="s">
        <v>402</v>
      </c>
      <c r="B10" s="307" t="n">
        <f aca="false">'0.DADES'!D13</f>
        <v>11037</v>
      </c>
      <c r="C10" s="307" t="n">
        <f aca="false">'0.DADES'!E13</f>
        <v>11594</v>
      </c>
      <c r="D10" s="307" t="n">
        <f aca="false">'0.DADES'!F13</f>
        <v>12091</v>
      </c>
      <c r="E10" s="307" t="n">
        <f aca="false">'0.DADES'!G13</f>
        <v>12406</v>
      </c>
      <c r="F10" s="307" t="n">
        <f aca="false">'0.DADES'!H13</f>
        <v>12789</v>
      </c>
      <c r="G10" s="307" t="n">
        <f aca="false">'0.DADES'!I13</f>
        <v>12731</v>
      </c>
      <c r="H10" s="304"/>
      <c r="I10" s="304"/>
    </row>
    <row r="12" customFormat="false" ht="13.5" hidden="false" customHeight="false" outlineLevel="0" collapsed="false">
      <c r="A12" s="75" t="s">
        <v>398</v>
      </c>
      <c r="B12" s="308" t="n">
        <f aca="false">B9</f>
        <v>2005</v>
      </c>
      <c r="C12" s="308" t="n">
        <f aca="false">C9</f>
        <v>2006</v>
      </c>
      <c r="D12" s="308" t="n">
        <f aca="false">D9</f>
        <v>2007</v>
      </c>
      <c r="E12" s="308" t="n">
        <f aca="false">E9</f>
        <v>2008</v>
      </c>
      <c r="F12" s="308" t="n">
        <f aca="false">F9</f>
        <v>2009</v>
      </c>
      <c r="G12" s="308" t="n">
        <f aca="false">G9</f>
        <v>2010</v>
      </c>
      <c r="H12" s="304"/>
      <c r="I12" s="304"/>
    </row>
    <row r="13" customFormat="false" ht="13.5" hidden="false" customHeight="false" outlineLevel="0" collapsed="false">
      <c r="A13" s="75" t="s">
        <v>253</v>
      </c>
      <c r="B13" s="74" t="n">
        <f aca="false">'0.DADES'!D39</f>
        <v>0.8438</v>
      </c>
      <c r="C13" s="74" t="n">
        <f aca="false">'0.DADES'!E39</f>
        <v>0.9084</v>
      </c>
      <c r="D13" s="74" t="n">
        <f aca="false">'0.DADES'!F39</f>
        <v>0.8211</v>
      </c>
      <c r="E13" s="74" t="n">
        <f aca="false">'0.DADES'!G39</f>
        <v>0.8272</v>
      </c>
      <c r="F13" s="74" t="n">
        <f aca="false">'0.DADES'!H39</f>
        <v>0.8481</v>
      </c>
      <c r="G13" s="74" t="n">
        <f aca="false">'0.DADES'!I39</f>
        <v>0.8481</v>
      </c>
      <c r="H13" s="309"/>
      <c r="I13" s="304"/>
      <c r="J13" s="73"/>
      <c r="K13" s="73"/>
      <c r="N13" s="131"/>
      <c r="O13" s="1"/>
    </row>
    <row r="14" customFormat="false" ht="13.5" hidden="false" customHeight="false" outlineLevel="0" collapsed="false">
      <c r="A14" s="75" t="s">
        <v>51</v>
      </c>
      <c r="B14" s="74" t="n">
        <f aca="false">'0.DADES'!D40</f>
        <v>0.202</v>
      </c>
      <c r="C14" s="74" t="n">
        <f aca="false">'0.DADES'!E40</f>
        <v>0.202</v>
      </c>
      <c r="D14" s="74" t="n">
        <f aca="false">'0.DADES'!F40</f>
        <v>0.202</v>
      </c>
      <c r="E14" s="74" t="n">
        <f aca="false">'0.DADES'!G40</f>
        <v>0.202</v>
      </c>
      <c r="F14" s="74" t="n">
        <f aca="false">'0.DADES'!H40</f>
        <v>0.202</v>
      </c>
      <c r="G14" s="74" t="n">
        <f aca="false">'0.DADES'!I40</f>
        <v>0.202</v>
      </c>
      <c r="H14" s="309"/>
      <c r="I14" s="304"/>
      <c r="J14" s="73"/>
      <c r="K14" s="73"/>
      <c r="N14" s="310"/>
      <c r="O14" s="1"/>
      <c r="W14" s="309"/>
    </row>
    <row r="15" customFormat="false" ht="13.5" hidden="false" customHeight="false" outlineLevel="0" collapsed="false">
      <c r="A15" s="75" t="s">
        <v>53</v>
      </c>
      <c r="B15" s="74" t="n">
        <f aca="false">'0.DADES'!D41</f>
        <v>0.227</v>
      </c>
      <c r="C15" s="74" t="n">
        <f aca="false">'0.DADES'!E41</f>
        <v>0.227</v>
      </c>
      <c r="D15" s="74" t="n">
        <f aca="false">'0.DADES'!F41</f>
        <v>0.227</v>
      </c>
      <c r="E15" s="74" t="n">
        <f aca="false">'0.DADES'!G41</f>
        <v>0.227</v>
      </c>
      <c r="F15" s="74" t="n">
        <f aca="false">'0.DADES'!H41</f>
        <v>0.227</v>
      </c>
      <c r="G15" s="74" t="n">
        <f aca="false">'0.DADES'!I41</f>
        <v>0.227</v>
      </c>
      <c r="J15" s="73"/>
      <c r="K15" s="73"/>
      <c r="N15" s="311"/>
      <c r="O15" s="311"/>
      <c r="P15" s="311"/>
      <c r="Q15" s="311"/>
      <c r="R15" s="311"/>
      <c r="S15" s="311"/>
      <c r="T15" s="311"/>
      <c r="U15" s="311"/>
      <c r="V15" s="311"/>
      <c r="W15" s="309"/>
    </row>
    <row r="16" customFormat="false" ht="13.5" hidden="false" customHeight="false" outlineLevel="0" collapsed="false">
      <c r="A16" s="75" t="s">
        <v>143</v>
      </c>
      <c r="B16" s="74" t="n">
        <f aca="false">'0.DADES'!D42</f>
        <v>0.267</v>
      </c>
      <c r="C16" s="74" t="n">
        <f aca="false">'0.DADES'!E42</f>
        <v>0.267</v>
      </c>
      <c r="D16" s="74" t="n">
        <f aca="false">'0.DADES'!F42</f>
        <v>0.267</v>
      </c>
      <c r="E16" s="74" t="n">
        <f aca="false">'0.DADES'!G42</f>
        <v>0.267</v>
      </c>
      <c r="F16" s="74" t="n">
        <f aca="false">'0.DADES'!H42</f>
        <v>0.267</v>
      </c>
      <c r="G16" s="74" t="n">
        <f aca="false">'0.DADES'!I42</f>
        <v>0.267</v>
      </c>
      <c r="J16" s="73"/>
      <c r="K16" s="73"/>
      <c r="N16" s="311"/>
      <c r="W16" s="309"/>
    </row>
    <row r="17" customFormat="false" ht="13.5" hidden="false" customHeight="false" outlineLevel="0" collapsed="false">
      <c r="A17" s="75" t="s">
        <v>580</v>
      </c>
      <c r="B17" s="74" t="n">
        <f aca="false">'0.DADES'!D43</f>
        <v>0.249</v>
      </c>
      <c r="C17" s="74" t="n">
        <f aca="false">'0.DADES'!E43</f>
        <v>0.249</v>
      </c>
      <c r="D17" s="74" t="n">
        <f aca="false">'0.DADES'!F43</f>
        <v>0.249</v>
      </c>
      <c r="E17" s="74" t="n">
        <f aca="false">'0.DADES'!G43</f>
        <v>0.249</v>
      </c>
      <c r="F17" s="74" t="n">
        <f aca="false">'0.DADES'!H43</f>
        <v>0.249</v>
      </c>
      <c r="G17" s="74" t="n">
        <f aca="false">'0.DADES'!I43</f>
        <v>0.249</v>
      </c>
      <c r="H17" s="309"/>
      <c r="I17" s="304"/>
      <c r="J17" s="73"/>
      <c r="K17" s="73"/>
      <c r="N17" s="311"/>
      <c r="W17" s="309"/>
    </row>
    <row r="18" customFormat="false" ht="13.5" hidden="false" customHeight="false" outlineLevel="0" collapsed="false">
      <c r="N18" s="311"/>
    </row>
    <row r="19" customFormat="false" ht="13.5" hidden="false" customHeight="false" outlineLevel="0" collapsed="false">
      <c r="A19" s="83" t="s">
        <v>581</v>
      </c>
      <c r="N19" s="311"/>
    </row>
    <row r="20" customFormat="false" ht="13.5" hidden="false" customHeight="false" outlineLevel="0" collapsed="false">
      <c r="A20" s="312"/>
      <c r="B20" s="313" t="n">
        <v>2005</v>
      </c>
      <c r="C20" s="314" t="n">
        <v>2006</v>
      </c>
      <c r="D20" s="313" t="n">
        <v>2007</v>
      </c>
      <c r="E20" s="314" t="n">
        <v>2008</v>
      </c>
      <c r="F20" s="313" t="n">
        <v>2009</v>
      </c>
      <c r="G20" s="314" t="n">
        <v>2010</v>
      </c>
      <c r="H20" s="313" t="s">
        <v>582</v>
      </c>
      <c r="N20" s="311"/>
    </row>
    <row r="21" customFormat="false" ht="13.5" hidden="false" customHeight="false" outlineLevel="0" collapsed="false">
      <c r="A21" s="315" t="s">
        <v>95</v>
      </c>
      <c r="B21" s="316" t="n">
        <f aca="false">'0.DADES'!D11</f>
        <v>9906</v>
      </c>
      <c r="C21" s="317" t="n">
        <f aca="false">'0.DADES'!E11</f>
        <v>10410</v>
      </c>
      <c r="D21" s="316" t="n">
        <f aca="false">'0.DADES'!F11</f>
        <v>10939</v>
      </c>
      <c r="E21" s="317" t="n">
        <f aca="false">'0.DADES'!G11</f>
        <v>11348</v>
      </c>
      <c r="F21" s="316" t="n">
        <f aca="false">'0.DADES'!H11</f>
        <v>11685</v>
      </c>
      <c r="G21" s="317" t="n">
        <f aca="false">'0.DADES'!I11</f>
        <v>11682</v>
      </c>
      <c r="H21" s="318" t="n">
        <f aca="false">(F21-B21)/B21</f>
        <v>0.179588128407026</v>
      </c>
      <c r="N21" s="311"/>
    </row>
    <row r="22" customFormat="false" ht="26.25" hidden="false" customHeight="true" outlineLevel="0" collapsed="false">
      <c r="A22" s="319" t="s">
        <v>97</v>
      </c>
      <c r="B22" s="320" t="n">
        <f aca="false">'0.DADES'!D12</f>
        <v>2715.318</v>
      </c>
      <c r="C22" s="321" t="n">
        <f aca="false">'0.DADES'!E12</f>
        <v>2841.528</v>
      </c>
      <c r="D22" s="320" t="n">
        <f aca="false">'0.DADES'!F12</f>
        <v>2765.802</v>
      </c>
      <c r="E22" s="321" t="n">
        <f aca="false">'0.DADES'!G12</f>
        <v>2539.638</v>
      </c>
      <c r="F22" s="320" t="n">
        <f aca="false">'0.DADES'!H12</f>
        <v>2650.68</v>
      </c>
      <c r="G22" s="321" t="n">
        <f aca="false">'0.DADES'!I12</f>
        <v>2517</v>
      </c>
      <c r="H22" s="322" t="n">
        <f aca="false">(F22-B22)/B22</f>
        <v>-0.0238049466029393</v>
      </c>
      <c r="N22" s="311"/>
    </row>
    <row r="23" customFormat="false" ht="27" hidden="false" customHeight="false" outlineLevel="0" collapsed="false">
      <c r="A23" s="323" t="s">
        <v>98</v>
      </c>
      <c r="B23" s="324" t="n">
        <f aca="false">'0.DADES'!D13</f>
        <v>11037</v>
      </c>
      <c r="C23" s="325" t="n">
        <f aca="false">'0.DADES'!E13</f>
        <v>11594</v>
      </c>
      <c r="D23" s="324" t="n">
        <f aca="false">'0.DADES'!F13</f>
        <v>12091</v>
      </c>
      <c r="E23" s="325" t="n">
        <f aca="false">'0.DADES'!G13</f>
        <v>12406</v>
      </c>
      <c r="F23" s="324" t="n">
        <f aca="false">'0.DADES'!H13</f>
        <v>12789</v>
      </c>
      <c r="G23" s="326" t="n">
        <f aca="false">'0.DADES'!I13</f>
        <v>12731</v>
      </c>
      <c r="H23" s="327" t="n">
        <f aca="false">(F23-B23)/B23</f>
        <v>0.158738787714053</v>
      </c>
      <c r="N23" s="311"/>
    </row>
    <row r="24" customFormat="false" ht="13.5" hidden="false" customHeight="false" outlineLevel="0" collapsed="false">
      <c r="N24" s="311"/>
    </row>
    <row r="25" customFormat="false" ht="13.5" hidden="false" customHeight="false" outlineLevel="0" collapsed="false">
      <c r="J25" s="194" t="s">
        <v>583</v>
      </c>
      <c r="N25" s="311"/>
      <c r="O25" s="194" t="s">
        <v>584</v>
      </c>
    </row>
    <row r="26" customFormat="false" ht="13.5" hidden="false" customHeight="false" outlineLevel="0" collapsed="false">
      <c r="A26" s="194" t="s">
        <v>585</v>
      </c>
      <c r="N26" s="311"/>
      <c r="U26" s="194" t="s">
        <v>586</v>
      </c>
    </row>
    <row r="27" customFormat="false" ht="13.5" hidden="false" customHeight="false" outlineLevel="0" collapsed="false">
      <c r="N27" s="311"/>
    </row>
    <row r="28" customFormat="false" ht="13.5" hidden="false" customHeight="false" outlineLevel="0" collapsed="false">
      <c r="A28" s="328" t="s">
        <v>587</v>
      </c>
      <c r="B28" s="328" t="n">
        <f aca="false">B9</f>
        <v>2005</v>
      </c>
      <c r="C28" s="328" t="n">
        <f aca="false">C9</f>
        <v>2006</v>
      </c>
      <c r="D28" s="328" t="n">
        <f aca="false">D9</f>
        <v>2007</v>
      </c>
      <c r="E28" s="328" t="n">
        <f aca="false">E9</f>
        <v>2008</v>
      </c>
      <c r="F28" s="328" t="n">
        <f aca="false">F9</f>
        <v>2009</v>
      </c>
      <c r="G28" s="328" t="n">
        <f aca="false">G9</f>
        <v>2010</v>
      </c>
      <c r="H28" s="328" t="s">
        <v>582</v>
      </c>
      <c r="J28" s="73"/>
      <c r="K28" s="73"/>
      <c r="N28" s="105"/>
      <c r="O28" s="105"/>
      <c r="P28" s="105"/>
      <c r="Q28" s="105"/>
      <c r="R28" s="105"/>
      <c r="S28" s="105"/>
      <c r="T28" s="105"/>
      <c r="U28" s="105"/>
      <c r="V28" s="105"/>
      <c r="W28" s="329"/>
    </row>
    <row r="29" customFormat="false" ht="13.5" hidden="false" customHeight="false" outlineLevel="0" collapsed="false">
      <c r="A29" s="330" t="s">
        <v>588</v>
      </c>
      <c r="B29" s="331" t="n">
        <f aca="false">'1.EE'!B13</f>
        <v>77626</v>
      </c>
      <c r="C29" s="331" t="n">
        <f aca="false">'1.EE'!C13</f>
        <v>80344</v>
      </c>
      <c r="D29" s="331" t="n">
        <f aca="false">'1.EE'!D13</f>
        <v>81884</v>
      </c>
      <c r="E29" s="331" t="n">
        <f aca="false">'1.EE'!E13</f>
        <v>81339</v>
      </c>
      <c r="F29" s="331" t="n">
        <f aca="false">'1.EE'!F13</f>
        <v>81135</v>
      </c>
      <c r="G29" s="331" t="n">
        <f aca="false">'1.EE'!G13</f>
        <v>82648.101</v>
      </c>
      <c r="H29" s="332" t="n">
        <f aca="false">(F29-B29)/B29</f>
        <v>0.0452039265194651</v>
      </c>
      <c r="J29" s="73"/>
      <c r="K29" s="73"/>
      <c r="N29" s="105"/>
      <c r="O29" s="120"/>
      <c r="P29" s="120"/>
      <c r="Q29" s="120"/>
      <c r="R29" s="120"/>
      <c r="S29" s="120"/>
      <c r="T29" s="120"/>
      <c r="U29" s="120"/>
      <c r="V29" s="120"/>
      <c r="W29" s="333"/>
    </row>
    <row r="30" customFormat="false" ht="13.5" hidden="false" customHeight="false" outlineLevel="0" collapsed="false">
      <c r="A30" s="330" t="s">
        <v>53</v>
      </c>
      <c r="B30" s="331" t="n">
        <f aca="false">'3.GLP'!B12</f>
        <v>10915.2620358363</v>
      </c>
      <c r="C30" s="331" t="n">
        <f aca="false">'3.GLP'!C12</f>
        <v>10297.457773473</v>
      </c>
      <c r="D30" s="331" t="n">
        <f aca="false">'3.GLP'!D12</f>
        <v>9625.91295145444</v>
      </c>
      <c r="E30" s="331" t="n">
        <f aca="false">'3.GLP'!E12</f>
        <v>9352.13965551199</v>
      </c>
      <c r="F30" s="331" t="n">
        <f aca="false">'3.GLP'!F12</f>
        <v>8774.68646192605</v>
      </c>
      <c r="G30" s="331" t="n">
        <f aca="false">'3.GLP'!G12</f>
        <v>8074.83766101786</v>
      </c>
      <c r="H30" s="332" t="n">
        <f aca="false">(F30-B30)/B30</f>
        <v>-0.196108491658965</v>
      </c>
      <c r="I30" s="311"/>
      <c r="J30" s="73"/>
      <c r="K30" s="73"/>
      <c r="N30" s="105"/>
      <c r="O30" s="120"/>
      <c r="P30" s="120"/>
      <c r="Q30" s="120"/>
      <c r="R30" s="120"/>
      <c r="S30" s="120"/>
      <c r="T30" s="120"/>
      <c r="U30" s="120"/>
      <c r="V30" s="120"/>
      <c r="W30" s="333"/>
    </row>
    <row r="31" customFormat="false" ht="13.5" hidden="false" customHeight="false" outlineLevel="0" collapsed="false">
      <c r="A31" s="330" t="s">
        <v>117</v>
      </c>
      <c r="B31" s="331" t="n">
        <f aca="false">'4.CL'!B22</f>
        <v>115615.236808395</v>
      </c>
      <c r="C31" s="331" t="n">
        <f aca="false">'4.CL'!C22</f>
        <v>129725.929083126</v>
      </c>
      <c r="D31" s="331" t="n">
        <f aca="false">'4.CL'!D22</f>
        <v>139696.02406731</v>
      </c>
      <c r="E31" s="331" t="n">
        <f aca="false">'4.CL'!E22</f>
        <v>130189.149297179</v>
      </c>
      <c r="F31" s="331" t="n">
        <f aca="false">'4.CL'!F22</f>
        <v>121405.918672692</v>
      </c>
      <c r="G31" s="331" t="n">
        <f aca="false">'4.CL'!G22</f>
        <v>107430.936010273</v>
      </c>
      <c r="H31" s="332" t="n">
        <f aca="false">(F31-B31)/B31</f>
        <v>0.0500858020460918</v>
      </c>
      <c r="I31" s="311"/>
      <c r="J31" s="73"/>
      <c r="K31" s="73"/>
      <c r="N31" s="105"/>
      <c r="O31" s="120"/>
      <c r="P31" s="120"/>
      <c r="Q31" s="120"/>
      <c r="R31" s="120"/>
      <c r="S31" s="120"/>
      <c r="T31" s="120"/>
      <c r="U31" s="120"/>
      <c r="V31" s="120"/>
      <c r="W31" s="333"/>
    </row>
    <row r="32" customFormat="false" ht="13.5" hidden="false" customHeight="false" outlineLevel="0" collapsed="false">
      <c r="A32" s="330" t="s">
        <v>118</v>
      </c>
      <c r="B32" s="331" t="n">
        <f aca="false">'4.CL'!B12</f>
        <v>34836.8314454196</v>
      </c>
      <c r="C32" s="331" t="n">
        <f aca="false">'4.CL'!C12</f>
        <v>35409.5394101154</v>
      </c>
      <c r="D32" s="331" t="n">
        <f aca="false">'4.CL'!D12</f>
        <v>35196.5507080797</v>
      </c>
      <c r="E32" s="331" t="n">
        <f aca="false">'4.CL'!E12</f>
        <v>33553.6409992852</v>
      </c>
      <c r="F32" s="331" t="n">
        <f aca="false">'4.CL'!F12</f>
        <v>31985.7961396805</v>
      </c>
      <c r="G32" s="331" t="n">
        <f aca="false">'4.CL'!G12</f>
        <v>30823.9985122559</v>
      </c>
      <c r="H32" s="332" t="n">
        <f aca="false">(F32-B32)/B32</f>
        <v>-0.0818396848234007</v>
      </c>
      <c r="I32" s="311"/>
      <c r="J32" s="73"/>
      <c r="K32" s="73"/>
      <c r="N32" s="105"/>
      <c r="O32" s="120"/>
      <c r="P32" s="120"/>
      <c r="Q32" s="120"/>
      <c r="R32" s="120"/>
      <c r="S32" s="120"/>
      <c r="T32" s="120"/>
      <c r="U32" s="120"/>
      <c r="V32" s="120"/>
      <c r="W32" s="333"/>
    </row>
    <row r="33" customFormat="false" ht="13.5" hidden="false" customHeight="false" outlineLevel="0" collapsed="false">
      <c r="A33" s="330" t="s">
        <v>119</v>
      </c>
      <c r="B33" s="331" t="n">
        <f aca="false">'4.CL'!B33</f>
        <v>3382.90663205931</v>
      </c>
      <c r="C33" s="331" t="n">
        <f aca="false">'4.CL'!C33</f>
        <v>3014.98810254877</v>
      </c>
      <c r="D33" s="331" t="n">
        <f aca="false">'4.CL'!D33</f>
        <v>2968.98631816385</v>
      </c>
      <c r="E33" s="331" t="n">
        <f aca="false">'4.CL'!E33</f>
        <v>3370.33153874866</v>
      </c>
      <c r="F33" s="331" t="n">
        <f aca="false">'4.CL'!F33</f>
        <v>0</v>
      </c>
      <c r="G33" s="331" t="n">
        <f aca="false">'4.CL'!G33</f>
        <v>0</v>
      </c>
      <c r="H33" s="332" t="n">
        <f aca="false">(F33-B33)/B33</f>
        <v>-1</v>
      </c>
      <c r="I33" s="311"/>
      <c r="J33" s="73"/>
      <c r="K33" s="73"/>
      <c r="N33" s="105"/>
      <c r="O33" s="120"/>
      <c r="P33" s="120"/>
      <c r="Q33" s="120"/>
      <c r="R33" s="120"/>
      <c r="S33" s="120"/>
      <c r="T33" s="120"/>
      <c r="U33" s="120"/>
      <c r="V33" s="120"/>
      <c r="W33" s="333"/>
    </row>
    <row r="34" customFormat="false" ht="13.5" hidden="false" customHeight="false" outlineLevel="0" collapsed="false">
      <c r="A34" s="330" t="s">
        <v>589</v>
      </c>
      <c r="B34" s="331" t="n">
        <f aca="false">-'5.RENOVABLES'!B20</f>
        <v>-11.83</v>
      </c>
      <c r="C34" s="331" t="n">
        <f aca="false">-'5.RENOVABLES'!C20</f>
        <v>-11.83</v>
      </c>
      <c r="D34" s="331" t="n">
        <f aca="false">-'5.RENOVABLES'!D20</f>
        <v>-11.83</v>
      </c>
      <c r="E34" s="331" t="n">
        <f aca="false">-'5.RENOVABLES'!E20</f>
        <v>-33.93</v>
      </c>
      <c r="F34" s="331" t="n">
        <f aca="false">-'5.RENOVABLES'!F20</f>
        <v>-78.13</v>
      </c>
      <c r="G34" s="331" t="n">
        <f aca="false">-'5.RENOVABLES'!G20</f>
        <v>-78.13</v>
      </c>
      <c r="H34" s="332" t="n">
        <v>1</v>
      </c>
      <c r="I34" s="304"/>
      <c r="J34" s="73"/>
      <c r="K34" s="73"/>
      <c r="N34" s="105"/>
      <c r="O34" s="120"/>
      <c r="P34" s="120"/>
      <c r="Q34" s="120"/>
      <c r="R34" s="120"/>
      <c r="S34" s="120"/>
      <c r="T34" s="120"/>
      <c r="U34" s="120"/>
      <c r="V34" s="120"/>
      <c r="W34" s="333"/>
    </row>
    <row r="35" customFormat="false" ht="13.5" hidden="false" customHeight="false" outlineLevel="0" collapsed="false">
      <c r="A35" s="334" t="s">
        <v>590</v>
      </c>
      <c r="B35" s="335" t="n">
        <f aca="false">SUM(B29:B34)</f>
        <v>242364.40692171</v>
      </c>
      <c r="C35" s="335" t="n">
        <f aca="false">SUM(C29:C34)</f>
        <v>258780.084369263</v>
      </c>
      <c r="D35" s="335" t="n">
        <f aca="false">SUM(D29:D34)</f>
        <v>269359.644045008</v>
      </c>
      <c r="E35" s="335" t="n">
        <f aca="false">SUM(E29:E34)</f>
        <v>257770.331490724</v>
      </c>
      <c r="F35" s="335" t="n">
        <f aca="false">SUM(F29:F34)</f>
        <v>243223.271274299</v>
      </c>
      <c r="G35" s="335" t="n">
        <f aca="false">SUM(G29:G34)</f>
        <v>228899.743183547</v>
      </c>
      <c r="H35" s="336" t="n">
        <f aca="false">(F35-B35)/B35</f>
        <v>0.00354369011315302</v>
      </c>
      <c r="I35" s="304"/>
      <c r="J35" s="73"/>
      <c r="K35" s="73"/>
      <c r="N35" s="105"/>
      <c r="O35" s="120"/>
      <c r="P35" s="120"/>
      <c r="Q35" s="120"/>
      <c r="R35" s="120"/>
      <c r="S35" s="120"/>
      <c r="T35" s="120"/>
      <c r="U35" s="120"/>
      <c r="V35" s="120"/>
      <c r="W35" s="333"/>
    </row>
    <row r="36" customFormat="false" ht="12.75" hidden="false" customHeight="true" outlineLevel="0" collapsed="false">
      <c r="A36" s="334" t="s">
        <v>272</v>
      </c>
      <c r="B36" s="335" t="n">
        <f aca="false">+B29+B30+B31+B32+B33</f>
        <v>242376.23692171</v>
      </c>
      <c r="C36" s="335" t="n">
        <f aca="false">+C29+C30+C31+C32+C33</f>
        <v>258791.914369263</v>
      </c>
      <c r="D36" s="335" t="n">
        <f aca="false">+D29+D30+D31+D32+D33</f>
        <v>269371.474045008</v>
      </c>
      <c r="E36" s="335" t="n">
        <f aca="false">+E29+E30+E31+E32+E33</f>
        <v>257804.261490724</v>
      </c>
      <c r="F36" s="335" t="n">
        <f aca="false">+F29+F30+F31+F32+F33</f>
        <v>243301.401274299</v>
      </c>
      <c r="G36" s="335" t="n">
        <f aca="false">+G29+G30+G31+G32+G33</f>
        <v>228977.873183547</v>
      </c>
      <c r="H36" s="337" t="n">
        <f aca="false">(F36-B36)/B36</f>
        <v>0.00381705881871379</v>
      </c>
      <c r="I36" s="304"/>
      <c r="J36" s="73"/>
      <c r="K36" s="309"/>
      <c r="N36" s="105"/>
      <c r="O36" s="120"/>
      <c r="P36" s="120"/>
      <c r="Q36" s="120"/>
      <c r="R36" s="120"/>
      <c r="S36" s="120"/>
      <c r="T36" s="120"/>
      <c r="U36" s="120"/>
      <c r="V36" s="120"/>
      <c r="W36" s="333"/>
    </row>
    <row r="37" customFormat="false" ht="13.5" hidden="false" customHeight="false" outlineLevel="0" collapsed="false">
      <c r="A37" s="105"/>
      <c r="B37" s="338"/>
      <c r="C37" s="338"/>
      <c r="D37" s="338"/>
      <c r="E37" s="338"/>
      <c r="F37" s="338"/>
      <c r="G37" s="338"/>
      <c r="H37" s="339"/>
      <c r="I37" s="304"/>
      <c r="J37" s="73"/>
      <c r="N37" s="105"/>
      <c r="O37" s="338"/>
      <c r="P37" s="338"/>
      <c r="Q37" s="338"/>
      <c r="R37" s="338"/>
      <c r="S37" s="338"/>
      <c r="T37" s="338"/>
      <c r="U37" s="338"/>
      <c r="V37" s="338"/>
      <c r="W37" s="340"/>
    </row>
    <row r="38" customFormat="false" ht="13.5" hidden="false" customHeight="false" outlineLevel="0" collapsed="false">
      <c r="A38" s="105"/>
      <c r="B38" s="338"/>
      <c r="C38" s="338"/>
      <c r="D38" s="338"/>
      <c r="E38" s="338"/>
      <c r="F38" s="338"/>
      <c r="G38" s="338"/>
      <c r="H38" s="339"/>
      <c r="I38" s="341"/>
      <c r="J38" s="1"/>
      <c r="K38" s="341"/>
      <c r="L38" s="341"/>
      <c r="M38" s="341"/>
      <c r="N38" s="105"/>
      <c r="O38" s="338"/>
      <c r="P38" s="338"/>
      <c r="Q38" s="338"/>
      <c r="R38" s="338"/>
      <c r="S38" s="338"/>
      <c r="T38" s="338"/>
      <c r="U38" s="338"/>
      <c r="V38" s="338"/>
      <c r="W38" s="340"/>
    </row>
    <row r="39" s="1" customFormat="true" ht="13.5" hidden="false" customHeight="true" outlineLevel="0" collapsed="false">
      <c r="A39" s="342" t="s">
        <v>591</v>
      </c>
      <c r="B39" s="342"/>
      <c r="C39" s="342"/>
      <c r="D39" s="342"/>
      <c r="E39" s="342"/>
      <c r="F39" s="342"/>
      <c r="G39" s="342"/>
      <c r="H39" s="342"/>
      <c r="I39" s="341"/>
      <c r="K39" s="341"/>
      <c r="L39" s="341"/>
      <c r="M39" s="341"/>
      <c r="N39" s="105"/>
      <c r="O39" s="338"/>
      <c r="P39" s="338"/>
      <c r="Q39" s="338"/>
      <c r="R39" s="338"/>
      <c r="S39" s="338"/>
      <c r="T39" s="338"/>
      <c r="U39" s="338"/>
      <c r="V39" s="338"/>
      <c r="W39" s="340"/>
      <c r="X39" s="341"/>
      <c r="Y39" s="341"/>
      <c r="Z39" s="341"/>
    </row>
    <row r="40" customFormat="false" ht="26.25" hidden="false" customHeight="true" outlineLevel="0" collapsed="false">
      <c r="A40" s="105"/>
      <c r="B40" s="338"/>
      <c r="C40" s="338"/>
      <c r="D40" s="338"/>
      <c r="E40" s="338"/>
      <c r="F40" s="338"/>
      <c r="G40" s="338"/>
      <c r="H40" s="339"/>
      <c r="I40" s="341"/>
      <c r="K40" s="341"/>
      <c r="L40" s="341"/>
      <c r="M40" s="341"/>
      <c r="N40" s="105"/>
      <c r="O40" s="338"/>
      <c r="P40" s="338"/>
      <c r="Q40" s="338"/>
      <c r="R40" s="338"/>
      <c r="S40" s="338"/>
      <c r="T40" s="338"/>
      <c r="U40" s="338"/>
      <c r="V40" s="338"/>
      <c r="W40" s="340"/>
      <c r="X40" s="341"/>
      <c r="Y40" s="341"/>
      <c r="Z40" s="341"/>
    </row>
    <row r="41" customFormat="false" ht="13.5" hidden="false" customHeight="false" outlineLevel="0" collapsed="false">
      <c r="A41" s="105"/>
      <c r="B41" s="338"/>
      <c r="C41" s="338"/>
      <c r="D41" s="338"/>
      <c r="E41" s="338"/>
      <c r="F41" s="338"/>
      <c r="G41" s="338"/>
      <c r="H41" s="339"/>
      <c r="I41" s="341"/>
      <c r="K41" s="341"/>
      <c r="L41" s="341"/>
      <c r="M41" s="341"/>
      <c r="N41" s="105"/>
      <c r="O41" s="338"/>
      <c r="P41" s="338"/>
      <c r="Q41" s="338"/>
      <c r="R41" s="338"/>
      <c r="S41" s="338"/>
      <c r="T41" s="338"/>
      <c r="U41" s="338"/>
      <c r="V41" s="338"/>
      <c r="W41" s="340"/>
      <c r="X41" s="341"/>
      <c r="Y41" s="341"/>
      <c r="Z41" s="341"/>
    </row>
    <row r="42" customFormat="false" ht="13.5" hidden="false" customHeight="false" outlineLevel="0" collapsed="false">
      <c r="A42" s="105"/>
      <c r="B42" s="338"/>
      <c r="C42" s="338"/>
      <c r="D42" s="338"/>
      <c r="E42" s="338"/>
      <c r="F42" s="338"/>
      <c r="G42" s="338"/>
      <c r="H42" s="339"/>
      <c r="I42" s="341"/>
      <c r="K42" s="341"/>
      <c r="L42" s="341"/>
      <c r="M42" s="341"/>
      <c r="N42" s="105"/>
      <c r="O42" s="338"/>
      <c r="P42" s="338"/>
      <c r="Q42" s="338"/>
      <c r="R42" s="338"/>
      <c r="S42" s="338"/>
      <c r="T42" s="338"/>
      <c r="U42" s="338"/>
      <c r="V42" s="338"/>
      <c r="W42" s="340"/>
      <c r="X42" s="341"/>
      <c r="Y42" s="341"/>
      <c r="Z42" s="341"/>
    </row>
    <row r="43" customFormat="false" ht="13.5" hidden="false" customHeight="false" outlineLevel="0" collapsed="false">
      <c r="A43" s="194" t="s">
        <v>592</v>
      </c>
      <c r="B43" s="338"/>
      <c r="C43" s="338"/>
      <c r="D43" s="338"/>
      <c r="E43" s="338"/>
      <c r="F43" s="338"/>
      <c r="G43" s="338"/>
      <c r="H43" s="339"/>
      <c r="I43" s="341"/>
      <c r="K43" s="341"/>
      <c r="L43" s="341"/>
      <c r="M43" s="341"/>
      <c r="N43" s="105"/>
      <c r="O43" s="338"/>
      <c r="P43" s="338"/>
      <c r="Q43" s="338"/>
      <c r="R43" s="338"/>
      <c r="S43" s="338"/>
      <c r="T43" s="338"/>
      <c r="U43" s="338"/>
      <c r="V43" s="338"/>
      <c r="W43" s="340"/>
      <c r="X43" s="341"/>
      <c r="Y43" s="341"/>
      <c r="Z43" s="341"/>
    </row>
    <row r="44" customFormat="false" ht="13.5" hidden="false" customHeight="false" outlineLevel="0" collapsed="false">
      <c r="A44" s="105"/>
      <c r="B44" s="338"/>
      <c r="C44" s="338"/>
      <c r="D44" s="338"/>
      <c r="E44" s="338"/>
      <c r="F44" s="338"/>
      <c r="G44" s="338"/>
      <c r="H44" s="339"/>
      <c r="I44" s="341"/>
      <c r="J44" s="194" t="s">
        <v>593</v>
      </c>
      <c r="K44" s="341"/>
      <c r="L44" s="341"/>
      <c r="M44" s="341"/>
      <c r="N44" s="105"/>
      <c r="O44" s="194" t="s">
        <v>594</v>
      </c>
      <c r="P44" s="338"/>
      <c r="Q44" s="338"/>
      <c r="R44" s="338"/>
      <c r="S44" s="338"/>
      <c r="U44" s="194" t="s">
        <v>595</v>
      </c>
      <c r="V44" s="338"/>
      <c r="W44" s="340"/>
      <c r="X44" s="341"/>
      <c r="Y44" s="341"/>
      <c r="Z44" s="341"/>
    </row>
    <row r="45" customFormat="false" ht="13.5" hidden="false" customHeight="false" outlineLevel="0" collapsed="false">
      <c r="A45" s="328" t="s">
        <v>587</v>
      </c>
      <c r="B45" s="328" t="n">
        <f aca="false">B28</f>
        <v>2005</v>
      </c>
      <c r="C45" s="328" t="n">
        <f aca="false">C28</f>
        <v>2006</v>
      </c>
      <c r="D45" s="328" t="n">
        <f aca="false">D28</f>
        <v>2007</v>
      </c>
      <c r="E45" s="328" t="n">
        <f aca="false">E28</f>
        <v>2008</v>
      </c>
      <c r="F45" s="328" t="n">
        <f aca="false">F28</f>
        <v>2009</v>
      </c>
      <c r="G45" s="328" t="n">
        <f aca="false">G28</f>
        <v>2010</v>
      </c>
      <c r="H45" s="328" t="s">
        <v>582</v>
      </c>
      <c r="I45" s="341"/>
      <c r="K45" s="341"/>
      <c r="L45" s="341"/>
      <c r="M45" s="341"/>
      <c r="N45" s="105"/>
      <c r="O45" s="338"/>
      <c r="P45" s="338"/>
      <c r="Q45" s="338"/>
      <c r="R45" s="338"/>
      <c r="S45" s="338"/>
      <c r="T45" s="338"/>
      <c r="U45" s="338"/>
      <c r="V45" s="338"/>
      <c r="W45" s="340"/>
      <c r="X45" s="341"/>
      <c r="Y45" s="341"/>
      <c r="Z45" s="341"/>
    </row>
    <row r="46" customFormat="false" ht="13.5" hidden="false" customHeight="false" outlineLevel="0" collapsed="false">
      <c r="A46" s="330" t="s">
        <v>588</v>
      </c>
      <c r="B46" s="331" t="n">
        <f aca="false">'1.EE'!B39</f>
        <v>65500.8188</v>
      </c>
      <c r="C46" s="331" t="n">
        <f aca="false">'1.EE'!C39</f>
        <v>72984.4896</v>
      </c>
      <c r="D46" s="331" t="n">
        <f aca="false">'1.EE'!D39</f>
        <v>67234.9524</v>
      </c>
      <c r="E46" s="331" t="n">
        <f aca="false">'1.EE'!E39</f>
        <v>67283.6208</v>
      </c>
      <c r="F46" s="331" t="n">
        <f aca="false">'1.EE'!F39</f>
        <v>68810.5935</v>
      </c>
      <c r="G46" s="331" t="n">
        <f aca="false">'1.EE'!G39</f>
        <v>70093.8544581</v>
      </c>
      <c r="H46" s="332" t="n">
        <f aca="false">(F46-B46)/B46</f>
        <v>0.0505302797833115</v>
      </c>
      <c r="I46" s="341"/>
      <c r="K46" s="341"/>
      <c r="L46" s="341"/>
      <c r="M46" s="341"/>
      <c r="N46" s="105"/>
      <c r="O46" s="338"/>
      <c r="P46" s="338"/>
      <c r="Q46" s="338"/>
      <c r="R46" s="338"/>
      <c r="S46" s="338"/>
      <c r="T46" s="338"/>
      <c r="U46" s="338"/>
      <c r="V46" s="338"/>
      <c r="W46" s="340"/>
      <c r="X46" s="341"/>
      <c r="Y46" s="341"/>
      <c r="Z46" s="341"/>
    </row>
    <row r="47" customFormat="false" ht="13.5" hidden="false" customHeight="false" outlineLevel="0" collapsed="false">
      <c r="A47" s="330" t="s">
        <v>53</v>
      </c>
      <c r="B47" s="331" t="n">
        <f aca="false">'3.GLP'!B42</f>
        <v>2914.37496356828</v>
      </c>
      <c r="C47" s="331" t="n">
        <f aca="false">'3.GLP'!C42</f>
        <v>2749.4212255173</v>
      </c>
      <c r="D47" s="331" t="n">
        <f aca="false">'3.GLP'!D42</f>
        <v>2570.11875803834</v>
      </c>
      <c r="E47" s="331" t="n">
        <f aca="false">'3.GLP'!E42</f>
        <v>2497.0212880217</v>
      </c>
      <c r="F47" s="331" t="n">
        <f aca="false">'3.GLP'!F42</f>
        <v>2342.84128533426</v>
      </c>
      <c r="G47" s="331" t="n">
        <f aca="false">'3.GLP'!G42</f>
        <v>2155.98165549177</v>
      </c>
      <c r="H47" s="332" t="n">
        <f aca="false">(F47-B47)/B47</f>
        <v>-0.196108491658965</v>
      </c>
      <c r="I47" s="341"/>
      <c r="K47" s="341"/>
      <c r="L47" s="341"/>
      <c r="M47" s="341"/>
      <c r="N47" s="105"/>
      <c r="O47" s="338"/>
      <c r="P47" s="338"/>
      <c r="Q47" s="338"/>
      <c r="R47" s="338"/>
      <c r="S47" s="338"/>
      <c r="T47" s="338"/>
      <c r="U47" s="338"/>
      <c r="V47" s="338"/>
      <c r="W47" s="340"/>
      <c r="X47" s="341"/>
      <c r="Y47" s="341"/>
      <c r="Z47" s="341"/>
    </row>
    <row r="48" customFormat="false" ht="13.5" hidden="false" customHeight="false" outlineLevel="0" collapsed="false">
      <c r="A48" s="330" t="s">
        <v>117</v>
      </c>
      <c r="B48" s="331" t="n">
        <f aca="false">'4.CL'!B87</f>
        <v>30869.2682278414</v>
      </c>
      <c r="C48" s="331" t="n">
        <f aca="false">'4.CL'!C87</f>
        <v>34636.8230651947</v>
      </c>
      <c r="D48" s="331" t="n">
        <f aca="false">'4.CL'!D87</f>
        <v>37298.8384259717</v>
      </c>
      <c r="E48" s="331" t="n">
        <f aca="false">'4.CL'!E87</f>
        <v>34760.5028623467</v>
      </c>
      <c r="F48" s="331" t="n">
        <f aca="false">'4.CL'!F87</f>
        <v>32415.3802856088</v>
      </c>
      <c r="G48" s="331" t="n">
        <f aca="false">'4.CL'!G87</f>
        <v>28684.0599147429</v>
      </c>
      <c r="H48" s="332" t="n">
        <f aca="false">(F48-B48)/B48</f>
        <v>0.0500858020460918</v>
      </c>
      <c r="I48" s="341"/>
      <c r="K48" s="341"/>
      <c r="L48" s="341"/>
      <c r="M48" s="341"/>
      <c r="N48" s="105"/>
      <c r="O48" s="338"/>
      <c r="P48" s="338"/>
      <c r="Q48" s="338"/>
      <c r="R48" s="338"/>
      <c r="S48" s="338"/>
      <c r="T48" s="338"/>
      <c r="U48" s="338"/>
      <c r="V48" s="338"/>
      <c r="W48" s="340"/>
      <c r="X48" s="341"/>
      <c r="Y48" s="341"/>
      <c r="Z48" s="341"/>
    </row>
    <row r="49" customFormat="false" ht="13.5" hidden="false" customHeight="false" outlineLevel="0" collapsed="false">
      <c r="A49" s="330" t="s">
        <v>118</v>
      </c>
      <c r="B49" s="331" t="n">
        <f aca="false">'4.CL'!B77</f>
        <v>8674.37102990949</v>
      </c>
      <c r="C49" s="331" t="n">
        <f aca="false">'4.CL'!C77</f>
        <v>8816.97531311874</v>
      </c>
      <c r="D49" s="331" t="n">
        <f aca="false">'4.CL'!D77</f>
        <v>8763.94112631185</v>
      </c>
      <c r="E49" s="331" t="n">
        <f aca="false">'4.CL'!E77</f>
        <v>8354.85660882202</v>
      </c>
      <c r="F49" s="331" t="n">
        <f aca="false">'4.CL'!F77</f>
        <v>7964.46323878046</v>
      </c>
      <c r="G49" s="331" t="n">
        <f aca="false">'4.CL'!G77</f>
        <v>7675.17562955173</v>
      </c>
      <c r="H49" s="332" t="n">
        <f aca="false">(F49-B49)/B49</f>
        <v>-0.0818396848234005</v>
      </c>
      <c r="I49" s="341"/>
      <c r="K49" s="341"/>
      <c r="L49" s="341"/>
      <c r="M49" s="341"/>
      <c r="N49" s="105"/>
      <c r="O49" s="338"/>
      <c r="P49" s="338"/>
      <c r="Q49" s="338"/>
      <c r="R49" s="338"/>
      <c r="S49" s="338"/>
      <c r="T49" s="338"/>
      <c r="U49" s="338"/>
      <c r="V49" s="338"/>
      <c r="W49" s="340"/>
      <c r="X49" s="341"/>
      <c r="Y49" s="341"/>
      <c r="Z49" s="341"/>
    </row>
    <row r="50" customFormat="false" ht="13.5" hidden="false" customHeight="false" outlineLevel="0" collapsed="false">
      <c r="A50" s="330" t="s">
        <v>119</v>
      </c>
      <c r="B50" s="331" t="n">
        <f aca="false">'4.CL'!B97</f>
        <v>943.914562292007</v>
      </c>
      <c r="C50" s="331" t="n">
        <f aca="false">'4.CL'!C97</f>
        <v>841.263894195941</v>
      </c>
      <c r="D50" s="331" t="n">
        <f aca="false">'4.CL'!D97</f>
        <v>828.435551819952</v>
      </c>
      <c r="E50" s="331" t="n">
        <f aca="false">'4.CL'!E97</f>
        <v>940.422811702443</v>
      </c>
      <c r="F50" s="331" t="n">
        <f aca="false">'4.CL'!F97</f>
        <v>0</v>
      </c>
      <c r="G50" s="331" t="n">
        <f aca="false">'4.CL'!G97</f>
        <v>0</v>
      </c>
      <c r="H50" s="332" t="n">
        <f aca="false">(F50-B50)/B50</f>
        <v>-1</v>
      </c>
      <c r="I50" s="341"/>
      <c r="K50" s="341"/>
      <c r="L50" s="341"/>
      <c r="M50" s="341"/>
      <c r="N50" s="105"/>
      <c r="O50" s="338"/>
      <c r="P50" s="338"/>
      <c r="Q50" s="338"/>
      <c r="R50" s="338"/>
      <c r="S50" s="338"/>
      <c r="T50" s="338"/>
      <c r="U50" s="338"/>
      <c r="V50" s="338"/>
      <c r="W50" s="340"/>
      <c r="X50" s="341"/>
      <c r="Y50" s="341"/>
      <c r="Z50" s="341"/>
    </row>
    <row r="51" customFormat="false" ht="13.5" hidden="false" customHeight="false" outlineLevel="0" collapsed="false">
      <c r="A51" s="330" t="s">
        <v>596</v>
      </c>
      <c r="B51" s="331" t="n">
        <f aca="false">-'5.RENOVABLES'!B24+'5.RENOVABLES'!B25</f>
        <v>-9.982154</v>
      </c>
      <c r="C51" s="331" t="n">
        <f aca="false">-'5.RENOVABLES'!C24+'5.RENOVABLES'!C25</f>
        <v>-10.746372</v>
      </c>
      <c r="D51" s="331" t="n">
        <f aca="false">-'5.RENOVABLES'!D24+'5.RENOVABLES'!D25</f>
        <v>-9.713613</v>
      </c>
      <c r="E51" s="331" t="n">
        <f aca="false">-'5.RENOVABLES'!E24+'5.RENOVABLES'!E25</f>
        <v>-28.066896</v>
      </c>
      <c r="F51" s="331" t="n">
        <f aca="false">-'5.RENOVABLES'!F24+'5.RENOVABLES'!F25</f>
        <v>-66.262053</v>
      </c>
      <c r="G51" s="331" t="n">
        <f aca="false">-'5.RENOVABLES'!G24+'5.RENOVABLES'!G25</f>
        <v>-66.262053</v>
      </c>
      <c r="H51" s="332" t="n">
        <f aca="false">(F51-B51)/B51</f>
        <v>5.63805156682616</v>
      </c>
      <c r="I51" s="341"/>
      <c r="K51" s="341"/>
      <c r="L51" s="341"/>
      <c r="M51" s="341"/>
      <c r="N51" s="105"/>
      <c r="O51" s="338"/>
      <c r="P51" s="338"/>
      <c r="Q51" s="338"/>
      <c r="R51" s="338"/>
      <c r="S51" s="338"/>
      <c r="T51" s="338"/>
      <c r="U51" s="338"/>
      <c r="V51" s="338"/>
      <c r="W51" s="340"/>
      <c r="X51" s="341"/>
      <c r="Y51" s="341"/>
      <c r="Z51" s="341"/>
    </row>
    <row r="52" customFormat="false" ht="13.5" hidden="false" customHeight="false" outlineLevel="0" collapsed="false">
      <c r="A52" s="334" t="s">
        <v>590</v>
      </c>
      <c r="B52" s="343" t="n">
        <f aca="false">SUM(B46:B51)</f>
        <v>108892.765429611</v>
      </c>
      <c r="C52" s="343" t="n">
        <f aca="false">SUM(C46:C51)</f>
        <v>120018.226726027</v>
      </c>
      <c r="D52" s="343" t="n">
        <f aca="false">SUM(D46:D51)</f>
        <v>116686.572649142</v>
      </c>
      <c r="E52" s="343" t="n">
        <f aca="false">SUM(E46:E51)</f>
        <v>113808.357474893</v>
      </c>
      <c r="F52" s="343" t="n">
        <f aca="false">SUM(F46:F51)</f>
        <v>111467.016256724</v>
      </c>
      <c r="G52" s="343" t="n">
        <f aca="false">SUM(G46:G51)</f>
        <v>108542.809604886</v>
      </c>
      <c r="H52" s="336" t="n">
        <f aca="false">(F52-B52)/B52</f>
        <v>0.0236402374111466</v>
      </c>
      <c r="I52" s="341"/>
      <c r="K52" s="341"/>
      <c r="L52" s="341"/>
      <c r="M52" s="341"/>
      <c r="N52" s="105"/>
      <c r="O52" s="338"/>
      <c r="P52" s="338"/>
      <c r="Q52" s="338"/>
      <c r="R52" s="338"/>
      <c r="S52" s="338"/>
      <c r="T52" s="338"/>
      <c r="U52" s="338"/>
      <c r="V52" s="338"/>
      <c r="W52" s="340"/>
      <c r="X52" s="341"/>
      <c r="Y52" s="341"/>
      <c r="Z52" s="341"/>
    </row>
    <row r="53" customFormat="false" ht="12.75" hidden="false" customHeight="true" outlineLevel="0" collapsed="false">
      <c r="A53" s="334" t="s">
        <v>272</v>
      </c>
      <c r="B53" s="343" t="n">
        <f aca="false">+B46+B47+B48+B49+B50</f>
        <v>108902.747583611</v>
      </c>
      <c r="C53" s="343" t="n">
        <f aca="false">+C46+C47+C48+C49+C50</f>
        <v>120028.973098027</v>
      </c>
      <c r="D53" s="343" t="n">
        <f aca="false">+D46+D47+D48+D49+D50</f>
        <v>116696.286262142</v>
      </c>
      <c r="E53" s="343" t="n">
        <f aca="false">+E46+E47+E48+E49+E50</f>
        <v>113836.424370893</v>
      </c>
      <c r="F53" s="343" t="n">
        <f aca="false">+F46+F47+F48+F49+F50</f>
        <v>111533.278309724</v>
      </c>
      <c r="G53" s="343" t="n">
        <f aca="false">+G46+G47+G48+G49+G50</f>
        <v>108609.071657886</v>
      </c>
      <c r="H53" s="337" t="n">
        <f aca="false">(F53-B53)/B53</f>
        <v>0.0241548609606264</v>
      </c>
      <c r="I53" s="341"/>
      <c r="K53" s="341"/>
      <c r="L53" s="341"/>
      <c r="M53" s="341"/>
      <c r="N53" s="105"/>
      <c r="O53" s="338"/>
      <c r="P53" s="338"/>
      <c r="Q53" s="338"/>
      <c r="R53" s="338"/>
      <c r="S53" s="338"/>
      <c r="T53" s="338"/>
      <c r="U53" s="338"/>
      <c r="V53" s="338"/>
      <c r="W53" s="340"/>
      <c r="X53" s="341"/>
      <c r="Y53" s="341"/>
      <c r="Z53" s="341"/>
    </row>
    <row r="54" customFormat="false" ht="13.5" hidden="false" customHeight="false" outlineLevel="0" collapsed="false">
      <c r="A54" s="105"/>
      <c r="B54" s="338"/>
      <c r="C54" s="338"/>
      <c r="D54" s="338"/>
      <c r="E54" s="338"/>
      <c r="F54" s="338"/>
      <c r="G54" s="338"/>
      <c r="H54" s="339"/>
      <c r="I54" s="341"/>
      <c r="K54" s="341"/>
      <c r="L54" s="341"/>
      <c r="M54" s="341"/>
      <c r="N54" s="105"/>
      <c r="O54" s="338"/>
      <c r="P54" s="338"/>
      <c r="Q54" s="338"/>
      <c r="R54" s="338"/>
      <c r="S54" s="338"/>
      <c r="T54" s="338"/>
      <c r="U54" s="338"/>
      <c r="V54" s="338"/>
      <c r="W54" s="340"/>
      <c r="X54" s="341"/>
      <c r="Y54" s="341"/>
      <c r="Z54" s="341"/>
    </row>
    <row r="55" customFormat="false" ht="13.5" hidden="false" customHeight="false" outlineLevel="0" collapsed="false">
      <c r="A55" s="105"/>
      <c r="B55" s="338"/>
      <c r="C55" s="338"/>
      <c r="D55" s="338"/>
      <c r="E55" s="338"/>
      <c r="F55" s="338"/>
      <c r="G55" s="338"/>
      <c r="H55" s="339"/>
      <c r="I55" s="341"/>
      <c r="K55" s="341"/>
      <c r="L55" s="341"/>
      <c r="M55" s="341"/>
      <c r="N55" s="105"/>
      <c r="O55" s="338"/>
      <c r="P55" s="338"/>
      <c r="Q55" s="338"/>
      <c r="R55" s="338"/>
      <c r="S55" s="338"/>
      <c r="T55" s="338"/>
      <c r="U55" s="338"/>
      <c r="V55" s="338"/>
      <c r="W55" s="340"/>
      <c r="X55" s="341"/>
      <c r="Y55" s="341"/>
      <c r="Z55" s="341"/>
    </row>
    <row r="56" customFormat="false" ht="13.5" hidden="false" customHeight="true" outlineLevel="0" collapsed="false">
      <c r="A56" s="342" t="s">
        <v>597</v>
      </c>
      <c r="B56" s="342"/>
      <c r="C56" s="342"/>
      <c r="D56" s="342"/>
      <c r="E56" s="342"/>
      <c r="F56" s="342"/>
      <c r="G56" s="342"/>
      <c r="H56" s="342"/>
      <c r="I56" s="341"/>
      <c r="K56" s="341"/>
      <c r="L56" s="341"/>
      <c r="M56" s="341"/>
      <c r="N56" s="105"/>
      <c r="O56" s="338"/>
      <c r="P56" s="338"/>
      <c r="Q56" s="338"/>
      <c r="R56" s="338"/>
      <c r="S56" s="338"/>
      <c r="T56" s="338"/>
      <c r="U56" s="338"/>
      <c r="V56" s="338"/>
      <c r="W56" s="340"/>
      <c r="X56" s="341"/>
      <c r="Y56" s="341"/>
      <c r="Z56" s="341"/>
    </row>
    <row r="57" customFormat="false" ht="30.75" hidden="false" customHeight="true" outlineLevel="0" collapsed="false">
      <c r="A57" s="105"/>
      <c r="B57" s="338"/>
      <c r="C57" s="338"/>
      <c r="D57" s="338"/>
      <c r="E57" s="338"/>
      <c r="F57" s="338"/>
      <c r="G57" s="338"/>
      <c r="H57" s="339"/>
      <c r="I57" s="341"/>
      <c r="K57" s="341"/>
      <c r="L57" s="341"/>
      <c r="M57" s="341"/>
      <c r="N57" s="105"/>
      <c r="O57" s="338"/>
      <c r="P57" s="338"/>
      <c r="Q57" s="338"/>
      <c r="R57" s="338"/>
      <c r="S57" s="338"/>
      <c r="T57" s="338"/>
      <c r="U57" s="338"/>
      <c r="V57" s="338"/>
      <c r="W57" s="340"/>
      <c r="X57" s="341"/>
      <c r="Y57" s="341"/>
      <c r="Z57" s="341"/>
    </row>
    <row r="58" customFormat="false" ht="13.5" hidden="false" customHeight="false" outlineLevel="0" collapsed="false">
      <c r="A58" s="105"/>
      <c r="B58" s="338"/>
      <c r="C58" s="338"/>
      <c r="D58" s="338"/>
      <c r="E58" s="338"/>
      <c r="F58" s="338"/>
      <c r="G58" s="338"/>
      <c r="H58" s="339"/>
      <c r="I58" s="341"/>
      <c r="N58" s="105"/>
      <c r="O58" s="338"/>
      <c r="P58" s="338"/>
      <c r="Q58" s="338"/>
      <c r="R58" s="338"/>
      <c r="S58" s="338"/>
      <c r="T58" s="338"/>
      <c r="U58" s="338"/>
      <c r="V58" s="338"/>
      <c r="W58" s="340"/>
      <c r="X58" s="341"/>
      <c r="Y58" s="341"/>
      <c r="Z58" s="341"/>
    </row>
    <row r="59" customFormat="false" ht="13.5" hidden="false" customHeight="false" outlineLevel="0" collapsed="false">
      <c r="A59" s="105"/>
      <c r="B59" s="338"/>
      <c r="C59" s="338"/>
      <c r="D59" s="338"/>
      <c r="E59" s="338"/>
      <c r="F59" s="338"/>
      <c r="G59" s="338"/>
      <c r="H59" s="339"/>
      <c r="I59" s="341"/>
      <c r="N59" s="105"/>
      <c r="O59" s="338"/>
      <c r="P59" s="338"/>
      <c r="Q59" s="338"/>
      <c r="R59" s="338"/>
      <c r="S59" s="338"/>
      <c r="T59" s="338"/>
      <c r="U59" s="338"/>
      <c r="V59" s="338"/>
      <c r="W59" s="340"/>
      <c r="X59" s="341"/>
      <c r="Y59" s="341"/>
      <c r="Z59" s="341"/>
    </row>
    <row r="60" customFormat="false" ht="13.5" hidden="false" customHeight="false" outlineLevel="0" collapsed="false">
      <c r="A60" s="105"/>
      <c r="B60" s="338"/>
      <c r="C60" s="338"/>
      <c r="D60" s="338"/>
      <c r="E60" s="338"/>
      <c r="F60" s="338"/>
      <c r="G60" s="338"/>
      <c r="H60" s="339"/>
      <c r="I60" s="341"/>
      <c r="N60" s="105"/>
      <c r="O60" s="338"/>
      <c r="P60" s="338"/>
      <c r="Q60" s="338"/>
      <c r="R60" s="338"/>
      <c r="S60" s="338"/>
      <c r="T60" s="338"/>
      <c r="U60" s="338"/>
      <c r="V60" s="338"/>
      <c r="W60" s="340"/>
      <c r="X60" s="341"/>
      <c r="Y60" s="341"/>
      <c r="Z60" s="341"/>
    </row>
    <row r="61" customFormat="false" ht="13.5" hidden="false" customHeight="false" outlineLevel="0" collapsed="false">
      <c r="A61" s="194" t="s">
        <v>598</v>
      </c>
      <c r="B61" s="338"/>
      <c r="C61" s="338"/>
      <c r="D61" s="338"/>
      <c r="E61" s="338"/>
      <c r="F61" s="338"/>
      <c r="G61" s="338"/>
      <c r="H61" s="339"/>
      <c r="I61" s="341"/>
      <c r="J61" s="194" t="s">
        <v>599</v>
      </c>
      <c r="K61" s="311"/>
      <c r="N61" s="105"/>
      <c r="O61" s="105"/>
      <c r="P61" s="105"/>
      <c r="Q61" s="105"/>
      <c r="R61" s="105"/>
      <c r="S61" s="105"/>
      <c r="T61" s="105"/>
      <c r="U61" s="105"/>
      <c r="V61" s="105"/>
      <c r="W61" s="329"/>
    </row>
    <row r="62" customFormat="false" ht="13.5" hidden="false" customHeight="false" outlineLevel="0" collapsed="false">
      <c r="A62" s="105"/>
      <c r="B62" s="338"/>
      <c r="C62" s="338"/>
      <c r="D62" s="338"/>
      <c r="E62" s="338"/>
      <c r="F62" s="338"/>
      <c r="G62" s="338"/>
      <c r="H62" s="339"/>
      <c r="I62" s="341"/>
      <c r="J62" s="73"/>
      <c r="K62" s="338"/>
      <c r="L62" s="338"/>
      <c r="N62" s="105"/>
      <c r="O62" s="194" t="s">
        <v>600</v>
      </c>
      <c r="P62" s="120"/>
      <c r="Q62" s="120"/>
      <c r="R62" s="120"/>
      <c r="S62" s="120"/>
      <c r="U62" s="194" t="s">
        <v>601</v>
      </c>
      <c r="V62" s="120"/>
      <c r="W62" s="333"/>
    </row>
    <row r="63" customFormat="false" ht="13.5" hidden="false" customHeight="false" outlineLevel="0" collapsed="false">
      <c r="A63" s="328" t="s">
        <v>602</v>
      </c>
      <c r="B63" s="328" t="n">
        <f aca="false">B9</f>
        <v>2005</v>
      </c>
      <c r="C63" s="328" t="n">
        <f aca="false">C9</f>
        <v>2006</v>
      </c>
      <c r="D63" s="328" t="n">
        <f aca="false">D9</f>
        <v>2007</v>
      </c>
      <c r="E63" s="328" t="n">
        <f aca="false">E9</f>
        <v>2008</v>
      </c>
      <c r="F63" s="328" t="n">
        <f aca="false">F9</f>
        <v>2009</v>
      </c>
      <c r="G63" s="328" t="n">
        <f aca="false">G9</f>
        <v>2010</v>
      </c>
      <c r="H63" s="328" t="s">
        <v>582</v>
      </c>
      <c r="I63" s="341"/>
      <c r="J63" s="73"/>
      <c r="N63" s="105"/>
      <c r="O63" s="120"/>
      <c r="P63" s="120"/>
      <c r="Q63" s="120"/>
      <c r="R63" s="120"/>
      <c r="S63" s="120"/>
      <c r="T63" s="120"/>
      <c r="U63" s="120"/>
      <c r="V63" s="120"/>
      <c r="W63" s="333"/>
    </row>
    <row r="64" customFormat="false" ht="13.5" hidden="false" customHeight="false" outlineLevel="0" collapsed="false">
      <c r="A64" s="330" t="s">
        <v>65</v>
      </c>
      <c r="B64" s="344" t="n">
        <f aca="false">'1.EE'!B7+'2.GN'!B7+'3.GLP'!B7+'4.CL'!B7+'4.CL'!B17</f>
        <v>7350.01409154809</v>
      </c>
      <c r="C64" s="344" t="n">
        <f aca="false">'1.EE'!C7+'2.GN'!C7+'3.GLP'!C7+'4.CL'!C7+'4.CL'!C17</f>
        <v>6610.44271233593</v>
      </c>
      <c r="D64" s="344" t="n">
        <f aca="false">'1.EE'!D7+'2.GN'!D7+'3.GLP'!D7+'4.CL'!D7+'4.CL'!D17</f>
        <v>5817.73564414169</v>
      </c>
      <c r="E64" s="344" t="n">
        <f aca="false">'1.EE'!E7+'2.GN'!E7+'3.GLP'!E7+'4.CL'!E7+'4.CL'!E17</f>
        <v>5659.27316334296</v>
      </c>
      <c r="F64" s="344" t="n">
        <f aca="false">'1.EE'!F7+'2.GN'!F7+'3.GLP'!F7+'4.CL'!F7+'4.CL'!F17</f>
        <v>4786.79104157069</v>
      </c>
      <c r="G64" s="345" t="n">
        <f aca="false">'1.EE'!G7+'2.GN'!G7+'3.GLP'!G7+'4.CL'!G7+'4.CL'!G17</f>
        <v>4005.07104866436</v>
      </c>
      <c r="H64" s="346" t="n">
        <f aca="false">(F64-B64)/B64</f>
        <v>-0.348737161323935</v>
      </c>
      <c r="I64" s="1"/>
      <c r="J64" s="73"/>
      <c r="N64" s="105"/>
      <c r="O64" s="120"/>
      <c r="P64" s="120"/>
      <c r="Q64" s="120"/>
      <c r="R64" s="120"/>
      <c r="S64" s="120"/>
      <c r="T64" s="120"/>
      <c r="U64" s="120"/>
      <c r="V64" s="120"/>
      <c r="W64" s="333"/>
    </row>
    <row r="65" customFormat="false" ht="13.5" hidden="false" customHeight="false" outlineLevel="0" collapsed="false">
      <c r="A65" s="330" t="s">
        <v>56</v>
      </c>
      <c r="B65" s="344" t="n">
        <f aca="false">'1.EE'!B8+'2.GN'!B8+'3.GLP'!B8+'4.CL'!B8+'4.CL'!B18+'4.CL'!B29</f>
        <v>16738.9317129936</v>
      </c>
      <c r="C65" s="344" t="n">
        <f aca="false">'1.EE'!C8+'2.GN'!C8+'3.GLP'!C8+'4.CL'!C8+'4.CL'!C18+'4.CL'!C29</f>
        <v>18366.0185300632</v>
      </c>
      <c r="D65" s="344" t="n">
        <f aca="false">'1.EE'!D8+'2.GN'!D8+'3.GLP'!D8+'4.CL'!D8+'4.CL'!D18+'4.CL'!D29</f>
        <v>19530.2266933774</v>
      </c>
      <c r="E65" s="344" t="n">
        <f aca="false">'1.EE'!E8+'2.GN'!E8+'3.GLP'!E8+'4.CL'!E8+'4.CL'!E18+'4.CL'!E29</f>
        <v>18037.7604890509</v>
      </c>
      <c r="F65" s="344" t="n">
        <f aca="false">'1.EE'!F8+'2.GN'!F8+'3.GLP'!F8+'4.CL'!F8+'4.CL'!F18+'4.CL'!F29</f>
        <v>13508.5774519396</v>
      </c>
      <c r="G65" s="344" t="n">
        <f aca="false">'1.EE'!G8+'2.GN'!G8+'3.GLP'!G8+'4.CL'!G8+'4.CL'!G18+'4.CL'!G29</f>
        <v>11210.9437002431</v>
      </c>
      <c r="H65" s="332" t="n">
        <f aca="false">(F65-B65)/B65</f>
        <v>-0.192984493660754</v>
      </c>
      <c r="J65" s="73"/>
      <c r="N65" s="105"/>
      <c r="O65" s="120"/>
      <c r="P65" s="120"/>
      <c r="Q65" s="120"/>
      <c r="R65" s="120"/>
      <c r="S65" s="120"/>
      <c r="T65" s="120"/>
      <c r="U65" s="120"/>
      <c r="V65" s="120"/>
      <c r="W65" s="333"/>
    </row>
    <row r="66" customFormat="false" ht="13.5" hidden="false" customHeight="false" outlineLevel="0" collapsed="false">
      <c r="A66" s="330" t="s">
        <v>49</v>
      </c>
      <c r="B66" s="344" t="n">
        <f aca="false">'1.EE'!B9+'2.GN'!B9+'3.GLP'!B9+'4.CL'!B9+'4.CL'!B19+'4.CL'!B30-B69+'1.EE'!B12</f>
        <v>53048.5724228357</v>
      </c>
      <c r="C66" s="344" t="n">
        <f aca="false">'1.EE'!C9+'2.GN'!C9+'3.GLP'!C9+'4.CL'!C9+'4.CL'!C19+'4.CL'!C30-C69+'1.EE'!C12</f>
        <v>58521.2334756521</v>
      </c>
      <c r="D66" s="344" t="n">
        <f aca="false">'1.EE'!D9+'2.GN'!D9+'3.GLP'!D9+'4.CL'!D9+'4.CL'!D19+'4.CL'!D30-D69+'1.EE'!D12</f>
        <v>60631.2329149267</v>
      </c>
      <c r="E66" s="344" t="n">
        <f aca="false">'1.EE'!E9+'2.GN'!E9+'3.GLP'!E9+'4.CL'!E9+'4.CL'!E19+'4.CL'!E30-E69+'1.EE'!E12</f>
        <v>55664.131999549</v>
      </c>
      <c r="F66" s="344" t="n">
        <f aca="false">'1.EE'!F9+'2.GN'!F9+'3.GLP'!F9+'4.CL'!F9+'4.CL'!F19+'4.CL'!F30-F69+'1.EE'!F12</f>
        <v>54258.8961833933</v>
      </c>
      <c r="G66" s="344" t="n">
        <f aca="false">'1.EE'!G9+'2.GN'!G9+'3.GLP'!G9+'4.CL'!G9+'4.CL'!G19+'4.CL'!G30-G69+'1.EE'!G12</f>
        <v>48642.070491704</v>
      </c>
      <c r="H66" s="332" t="n">
        <f aca="false">(F66-B66)/B66</f>
        <v>0.0228153879601216</v>
      </c>
      <c r="J66" s="73"/>
      <c r="N66" s="105"/>
      <c r="O66" s="120"/>
      <c r="P66" s="120"/>
      <c r="Q66" s="120"/>
      <c r="R66" s="120"/>
      <c r="S66" s="120"/>
      <c r="T66" s="120"/>
      <c r="U66" s="120"/>
      <c r="V66" s="120"/>
      <c r="W66" s="333"/>
    </row>
    <row r="67" customFormat="false" ht="13.5" hidden="false" customHeight="false" outlineLevel="0" collapsed="false">
      <c r="A67" s="330" t="s">
        <v>42</v>
      </c>
      <c r="B67" s="344" t="n">
        <f aca="false">'1.EE'!B10+'2.GN'!B10+'3.GLP'!B10+'4.CL'!B10+'4.CL'!B20</f>
        <v>72157.5889450002</v>
      </c>
      <c r="C67" s="344" t="n">
        <f aca="false">'1.EE'!C10+'2.GN'!C10+'3.GLP'!C10+'4.CL'!C10+'4.CL'!C20</f>
        <v>77244.8108713911</v>
      </c>
      <c r="D67" s="344" t="n">
        <f aca="false">'1.EE'!D10+'2.GN'!D10+'3.GLP'!D10+'4.CL'!D10+'4.CL'!D20</f>
        <v>81155.7216523405</v>
      </c>
      <c r="E67" s="344" t="n">
        <f aca="false">'1.EE'!E10+'2.GN'!E10+'3.GLP'!E10+'4.CL'!E10+'4.CL'!E20</f>
        <v>77810.8814395767</v>
      </c>
      <c r="F67" s="344" t="n">
        <f aca="false">'1.EE'!F10+'2.GN'!F10+'3.GLP'!F10+'4.CL'!F10+'4.CL'!F20</f>
        <v>74107.3940507986</v>
      </c>
      <c r="G67" s="345" t="n">
        <f aca="false">'1.EE'!G10+'2.GN'!G10+'3.GLP'!G10+'4.CL'!G10+'4.CL'!G20</f>
        <v>73595.575928495</v>
      </c>
      <c r="H67" s="332" t="n">
        <f aca="false">(F67-B67)/B67</f>
        <v>0.0270214835931468</v>
      </c>
      <c r="J67" s="73"/>
      <c r="N67" s="105"/>
      <c r="O67" s="120"/>
      <c r="P67" s="120"/>
      <c r="Q67" s="120"/>
      <c r="R67" s="120"/>
      <c r="S67" s="120"/>
      <c r="T67" s="120"/>
      <c r="U67" s="120"/>
      <c r="V67" s="120"/>
      <c r="W67" s="333"/>
    </row>
    <row r="68" customFormat="false" ht="13.5" hidden="false" customHeight="false" outlineLevel="0" collapsed="false">
      <c r="A68" s="330" t="s">
        <v>44</v>
      </c>
      <c r="B68" s="344" t="n">
        <f aca="false">'1.EE'!B11+'2.GN'!B11+'3.GLP'!B11+'4.CL'!B11+'4.CL'!B21</f>
        <v>87085.2108593324</v>
      </c>
      <c r="C68" s="344" t="n">
        <f aca="false">'1.EE'!C11+'2.GN'!C11+'3.GLP'!C11+'4.CL'!C11+'4.CL'!C21</f>
        <v>91373.5963198209</v>
      </c>
      <c r="D68" s="344" t="n">
        <f aca="false">'1.EE'!D11+'2.GN'!D11+'3.GLP'!D11+'4.CL'!D11+'4.CL'!D21</f>
        <v>95465.9694602215</v>
      </c>
      <c r="E68" s="344" t="n">
        <f aca="false">'1.EE'!E11+'2.GN'!E11+'3.GLP'!E11+'4.CL'!E11+'4.CL'!E21</f>
        <v>93525.8419992048</v>
      </c>
      <c r="F68" s="344" t="n">
        <f aca="false">'1.EE'!F11+'2.GN'!F11+'3.GLP'!F11+'4.CL'!F11+'4.CL'!F21</f>
        <v>89315.9404665966</v>
      </c>
      <c r="G68" s="345" t="n">
        <f aca="false">'1.EE'!G11+'2.GN'!G11+'3.GLP'!G11+'4.CL'!G11+'4.CL'!G21</f>
        <v>86964.2769444402</v>
      </c>
      <c r="H68" s="332" t="n">
        <f aca="false">(F68-B68)/B68</f>
        <v>0.0256154814951004</v>
      </c>
      <c r="J68" s="73"/>
      <c r="N68" s="105"/>
      <c r="O68" s="120"/>
      <c r="P68" s="120"/>
      <c r="Q68" s="120"/>
      <c r="R68" s="120"/>
      <c r="S68" s="120"/>
      <c r="T68" s="120"/>
      <c r="U68" s="120"/>
      <c r="V68" s="120"/>
      <c r="W68" s="333"/>
    </row>
    <row r="69" customFormat="false" ht="13.5" hidden="false" customHeight="false" outlineLevel="0" collapsed="false">
      <c r="A69" s="330" t="s">
        <v>603</v>
      </c>
      <c r="B69" s="344" t="n">
        <f aca="false">'7.AIGUA'!B45</f>
        <v>5995.91889</v>
      </c>
      <c r="C69" s="344" t="n">
        <f aca="false">'7.AIGUA'!C45</f>
        <v>6675.81246</v>
      </c>
      <c r="D69" s="344" t="n">
        <f aca="false">'7.AIGUA'!D45</f>
        <v>6770.58768</v>
      </c>
      <c r="E69" s="344" t="n">
        <f aca="false">'7.AIGUA'!E45</f>
        <v>7106.3724</v>
      </c>
      <c r="F69" s="344" t="n">
        <f aca="false">'7.AIGUA'!F45</f>
        <v>7323.80208</v>
      </c>
      <c r="G69" s="344" t="n">
        <f aca="false">'7.AIGUA'!G45</f>
        <v>4559.93507</v>
      </c>
      <c r="H69" s="332" t="n">
        <f aca="false">(F69-B69)/B69</f>
        <v>0.221464501832179</v>
      </c>
      <c r="J69" s="73"/>
      <c r="N69" s="105"/>
      <c r="O69" s="120"/>
      <c r="P69" s="120"/>
      <c r="Q69" s="120"/>
      <c r="R69" s="120"/>
      <c r="S69" s="120"/>
      <c r="T69" s="120"/>
      <c r="U69" s="120"/>
      <c r="V69" s="120"/>
      <c r="W69" s="333"/>
    </row>
    <row r="70" customFormat="false" ht="13.5" hidden="false" customHeight="false" outlineLevel="0" collapsed="false">
      <c r="A70" s="330" t="s">
        <v>596</v>
      </c>
      <c r="B70" s="331" t="n">
        <f aca="false">-'5.RENOVABLES'!B20</f>
        <v>-11.83</v>
      </c>
      <c r="C70" s="331" t="n">
        <f aca="false">-'5.RENOVABLES'!C20</f>
        <v>-11.83</v>
      </c>
      <c r="D70" s="331" t="n">
        <f aca="false">-'5.RENOVABLES'!D20</f>
        <v>-11.83</v>
      </c>
      <c r="E70" s="331" t="n">
        <f aca="false">-'5.RENOVABLES'!E20</f>
        <v>-33.93</v>
      </c>
      <c r="F70" s="331" t="n">
        <f aca="false">-'5.RENOVABLES'!F20</f>
        <v>-78.13</v>
      </c>
      <c r="G70" s="331" t="n">
        <f aca="false">-'5.RENOVABLES'!G20</f>
        <v>-78.13</v>
      </c>
      <c r="H70" s="332" t="n">
        <v>1</v>
      </c>
      <c r="N70" s="105"/>
      <c r="O70" s="338"/>
      <c r="P70" s="338"/>
      <c r="Q70" s="338"/>
      <c r="R70" s="338"/>
      <c r="S70" s="338"/>
      <c r="T70" s="338"/>
      <c r="U70" s="338"/>
      <c r="V70" s="338"/>
      <c r="W70" s="340"/>
    </row>
    <row r="71" customFormat="false" ht="13.5" hidden="false" customHeight="false" outlineLevel="0" collapsed="false">
      <c r="A71" s="334" t="s">
        <v>590</v>
      </c>
      <c r="B71" s="347" t="n">
        <f aca="false">SUM(B64:B70)</f>
        <v>242364.40692171</v>
      </c>
      <c r="C71" s="347" t="n">
        <f aca="false">SUM(C64:C70)</f>
        <v>258780.084369263</v>
      </c>
      <c r="D71" s="347" t="n">
        <f aca="false">SUM(D64:D70)</f>
        <v>269359.644045008</v>
      </c>
      <c r="E71" s="347" t="n">
        <f aca="false">SUM(E64:E70)</f>
        <v>257770.331490724</v>
      </c>
      <c r="F71" s="347" t="n">
        <f aca="false">SUM(F64:F70)</f>
        <v>243223.271274299</v>
      </c>
      <c r="G71" s="347" t="n">
        <f aca="false">SUM(G64:G70)</f>
        <v>228899.743183547</v>
      </c>
      <c r="H71" s="336" t="n">
        <f aca="false">(F71-B71)/B71</f>
        <v>0.00354369011315289</v>
      </c>
      <c r="N71" s="105"/>
      <c r="O71" s="338"/>
      <c r="P71" s="338"/>
      <c r="Q71" s="338"/>
      <c r="R71" s="338"/>
      <c r="S71" s="338"/>
      <c r="T71" s="338"/>
      <c r="U71" s="338"/>
      <c r="V71" s="338"/>
      <c r="W71" s="340"/>
    </row>
    <row r="72" customFormat="false" ht="12.75" hidden="false" customHeight="true" outlineLevel="0" collapsed="false">
      <c r="A72" s="334" t="s">
        <v>292</v>
      </c>
      <c r="B72" s="347" t="n">
        <f aca="false">SUM(B64:B69)</f>
        <v>242376.23692171</v>
      </c>
      <c r="C72" s="347" t="n">
        <f aca="false">SUM(C64:C69)</f>
        <v>258791.914369263</v>
      </c>
      <c r="D72" s="347" t="n">
        <f aca="false">SUM(D64:D69)</f>
        <v>269371.474045008</v>
      </c>
      <c r="E72" s="347" t="n">
        <f aca="false">SUM(E64:E69)</f>
        <v>257804.261490724</v>
      </c>
      <c r="F72" s="347" t="n">
        <f aca="false">SUM(F64:F69)</f>
        <v>243301.401274299</v>
      </c>
      <c r="G72" s="348" t="n">
        <f aca="false">SUM(G64:G69)</f>
        <v>228977.873183547</v>
      </c>
      <c r="H72" s="336" t="n">
        <f aca="false">(F72-B72)/B72</f>
        <v>0.00381705881871367</v>
      </c>
      <c r="N72" s="105"/>
      <c r="O72" s="338"/>
      <c r="P72" s="338"/>
      <c r="Q72" s="338"/>
      <c r="R72" s="338"/>
      <c r="S72" s="338"/>
      <c r="T72" s="338"/>
      <c r="U72" s="338"/>
      <c r="V72" s="338"/>
      <c r="W72" s="340"/>
    </row>
    <row r="73" customFormat="false" ht="13.5" hidden="false" customHeight="false" outlineLevel="0" collapsed="false">
      <c r="A73" s="349" t="s">
        <v>604</v>
      </c>
      <c r="B73" s="350" t="n">
        <f aca="false">+B36</f>
        <v>242376.23692171</v>
      </c>
      <c r="C73" s="350" t="n">
        <f aca="false">+C36</f>
        <v>258791.914369263</v>
      </c>
      <c r="D73" s="350" t="n">
        <f aca="false">+D36</f>
        <v>269371.474045008</v>
      </c>
      <c r="E73" s="350" t="n">
        <f aca="false">+E36</f>
        <v>257804.261490724</v>
      </c>
      <c r="F73" s="350" t="n">
        <f aca="false">+F36</f>
        <v>243301.401274299</v>
      </c>
      <c r="G73" s="350" t="n">
        <f aca="false">+G36</f>
        <v>228977.873183547</v>
      </c>
      <c r="H73" s="339"/>
      <c r="I73" s="351"/>
      <c r="N73" s="105"/>
      <c r="O73" s="338"/>
      <c r="P73" s="338"/>
      <c r="Q73" s="338"/>
      <c r="R73" s="338"/>
      <c r="S73" s="338"/>
      <c r="T73" s="338"/>
      <c r="U73" s="338"/>
      <c r="V73" s="338"/>
      <c r="W73" s="340"/>
    </row>
    <row r="74" customFormat="false" ht="13.5" hidden="false" customHeight="false" outlineLevel="0" collapsed="false">
      <c r="A74" s="98"/>
      <c r="B74" s="351"/>
      <c r="C74" s="351"/>
      <c r="D74" s="351"/>
      <c r="E74" s="351"/>
      <c r="F74" s="351"/>
      <c r="G74" s="351"/>
      <c r="H74" s="339"/>
      <c r="I74" s="351"/>
      <c r="N74" s="105"/>
      <c r="O74" s="338"/>
      <c r="P74" s="338"/>
      <c r="Q74" s="338"/>
      <c r="R74" s="338"/>
      <c r="S74" s="338"/>
      <c r="T74" s="338"/>
      <c r="U74" s="338"/>
      <c r="V74" s="338"/>
      <c r="W74" s="340"/>
    </row>
    <row r="75" customFormat="false" ht="13.5" hidden="false" customHeight="false" outlineLevel="0" collapsed="false">
      <c r="A75" s="194" t="s">
        <v>605</v>
      </c>
      <c r="B75" s="338"/>
      <c r="C75" s="338"/>
      <c r="D75" s="338"/>
      <c r="E75" s="338"/>
      <c r="F75" s="338"/>
      <c r="G75" s="338"/>
      <c r="H75" s="339"/>
      <c r="I75" s="351"/>
      <c r="N75" s="105"/>
      <c r="O75" s="338"/>
      <c r="P75" s="338"/>
      <c r="Q75" s="338"/>
      <c r="R75" s="338"/>
      <c r="S75" s="338"/>
      <c r="T75" s="338"/>
      <c r="U75" s="338"/>
      <c r="V75" s="338"/>
      <c r="W75" s="340"/>
    </row>
    <row r="76" customFormat="false" ht="13.5" hidden="false" customHeight="false" outlineLevel="0" collapsed="false">
      <c r="A76" s="105"/>
      <c r="B76" s="338"/>
      <c r="C76" s="338"/>
      <c r="D76" s="338"/>
      <c r="E76" s="338"/>
      <c r="F76" s="338"/>
      <c r="G76" s="338"/>
      <c r="H76" s="339"/>
      <c r="I76" s="351"/>
      <c r="J76" s="73"/>
      <c r="N76" s="105"/>
      <c r="O76" s="352" t="s">
        <v>606</v>
      </c>
      <c r="P76" s="338"/>
      <c r="Q76" s="338"/>
      <c r="R76" s="338"/>
      <c r="S76" s="338"/>
      <c r="U76" s="352" t="s">
        <v>607</v>
      </c>
      <c r="V76" s="338"/>
      <c r="W76" s="340"/>
    </row>
    <row r="77" customFormat="false" ht="13.5" hidden="false" customHeight="false" outlineLevel="0" collapsed="false">
      <c r="A77" s="328" t="s">
        <v>602</v>
      </c>
      <c r="B77" s="328" t="n">
        <f aca="false">B63</f>
        <v>2005</v>
      </c>
      <c r="C77" s="328" t="n">
        <f aca="false">C63</f>
        <v>2006</v>
      </c>
      <c r="D77" s="328" t="n">
        <f aca="false">D63</f>
        <v>2007</v>
      </c>
      <c r="E77" s="328" t="n">
        <f aca="false">E63</f>
        <v>2008</v>
      </c>
      <c r="F77" s="328" t="n">
        <f aca="false">F63</f>
        <v>2009</v>
      </c>
      <c r="G77" s="328" t="n">
        <f aca="false">G63</f>
        <v>2010</v>
      </c>
      <c r="H77" s="328" t="s">
        <v>582</v>
      </c>
      <c r="I77" s="351"/>
      <c r="J77" s="352" t="s">
        <v>608</v>
      </c>
      <c r="N77" s="105"/>
      <c r="O77" s="338"/>
      <c r="P77" s="338"/>
      <c r="Q77" s="338"/>
      <c r="R77" s="338"/>
      <c r="S77" s="338"/>
      <c r="T77" s="338"/>
      <c r="U77" s="338"/>
      <c r="V77" s="338"/>
      <c r="W77" s="340"/>
    </row>
    <row r="78" customFormat="false" ht="13.5" hidden="false" customHeight="false" outlineLevel="0" collapsed="false">
      <c r="A78" s="330" t="s">
        <v>65</v>
      </c>
      <c r="B78" s="344" t="n">
        <f aca="false">'1.EE'!B33+'2.GN'!B19+'3.GLP'!B37+'4.CL'!B72+'4.CL'!B82</f>
        <v>2522.84740901107</v>
      </c>
      <c r="C78" s="344" t="n">
        <f aca="false">'1.EE'!C33+'2.GN'!C19+'3.GLP'!C37+'4.CL'!C72+'4.CL'!C82</f>
        <v>2413.73468697184</v>
      </c>
      <c r="D78" s="344" t="n">
        <f aca="false">'1.EE'!D33+'2.GN'!D19+'3.GLP'!D37+'4.CL'!D72+'4.CL'!D82</f>
        <v>2021.12014407417</v>
      </c>
      <c r="E78" s="344" t="n">
        <f aca="false">'1.EE'!E33+'2.GN'!E19+'3.GLP'!E37+'4.CL'!E72+'4.CL'!E82</f>
        <v>1986.37314406509</v>
      </c>
      <c r="F78" s="344" t="n">
        <f aca="false">'1.EE'!F33+'2.GN'!F19+'3.GLP'!F37+'4.CL'!F72+'4.CL'!F82</f>
        <v>1781.73008982398</v>
      </c>
      <c r="G78" s="344" t="n">
        <f aca="false">'1.EE'!G33+'2.GN'!G24+'3.GLP'!G7+'4.CL'!G72+'4.CL'!G82</f>
        <v>1489.45960991624</v>
      </c>
      <c r="H78" s="332" t="n">
        <f aca="false">(F78-B78)/B78</f>
        <v>-0.293762245207529</v>
      </c>
      <c r="I78" s="351"/>
      <c r="N78" s="105"/>
      <c r="O78" s="338"/>
      <c r="P78" s="338"/>
      <c r="Q78" s="338"/>
      <c r="R78" s="338"/>
      <c r="S78" s="338"/>
      <c r="T78" s="338"/>
      <c r="U78" s="338"/>
      <c r="V78" s="338"/>
      <c r="W78" s="340"/>
    </row>
    <row r="79" customFormat="false" ht="13.5" hidden="false" customHeight="false" outlineLevel="0" collapsed="false">
      <c r="A79" s="330" t="s">
        <v>56</v>
      </c>
      <c r="B79" s="344" t="n">
        <f aca="false">'1.EE'!B34+'2.GN'!B20+'3.GLP'!B38+'4.CL'!B73+'4.CL'!B83+'4.CL'!B93</f>
        <v>6703.94569460785</v>
      </c>
      <c r="C79" s="344" t="n">
        <f aca="false">'1.EE'!C34+'2.GN'!C20+'3.GLP'!C38+'4.CL'!C73+'4.CL'!C83+'4.CL'!C93</f>
        <v>7433.81950851742</v>
      </c>
      <c r="D79" s="344" t="n">
        <f aca="false">'1.EE'!D34+'2.GN'!D20+'3.GLP'!D38+'4.CL'!D73+'4.CL'!D83+'4.CL'!D93</f>
        <v>7493.65940675562</v>
      </c>
      <c r="E79" s="344" t="n">
        <f aca="false">'1.EE'!E34+'2.GN'!E20+'3.GLP'!E38+'4.CL'!E73+'4.CL'!E83+'4.CL'!E93</f>
        <v>6908.35820287439</v>
      </c>
      <c r="F79" s="344" t="n">
        <f aca="false">'1.EE'!F34+'2.GN'!F20+'3.GLP'!F38+'4.CL'!F73+'4.CL'!F83+'4.CL'!F93</f>
        <v>5539.62565079262</v>
      </c>
      <c r="G79" s="344" t="n">
        <f aca="false">'1.EE'!G34+'2.GN'!G20+'3.GLP'!G38+'4.CL'!G73+'4.CL'!G83+'4.CL'!G93</f>
        <v>4789.79933439371</v>
      </c>
      <c r="H79" s="332" t="n">
        <f aca="false">(F79-B79)/B79</f>
        <v>-0.173676831056629</v>
      </c>
      <c r="I79" s="351"/>
      <c r="N79" s="105"/>
      <c r="O79" s="338"/>
      <c r="P79" s="338"/>
      <c r="Q79" s="338"/>
      <c r="R79" s="338"/>
      <c r="S79" s="338"/>
      <c r="T79" s="338"/>
      <c r="U79" s="338"/>
      <c r="V79" s="338"/>
      <c r="W79" s="340"/>
    </row>
    <row r="80" customFormat="false" ht="13.5" hidden="false" customHeight="false" outlineLevel="0" collapsed="false">
      <c r="A80" s="330" t="s">
        <v>49</v>
      </c>
      <c r="B80" s="344" t="n">
        <f aca="false">'1.EE'!B35+'2.GN'!B21+'3.GLP'!B39+'4.CL'!B74+'4.CL'!B84+'4.CL'!B94-B84+'1.EE'!B38</f>
        <v>27448.431240471</v>
      </c>
      <c r="C80" s="344" t="n">
        <f aca="false">'1.EE'!C35+'2.GN'!C21+'3.GLP'!C39+'4.CL'!C74+'4.CL'!C84+'4.CL'!C94-C84+'1.EE'!C38</f>
        <v>30885.8345728018</v>
      </c>
      <c r="D80" s="344" t="n">
        <f aca="false">'1.EE'!D35+'2.GN'!D21+'3.GLP'!D39+'4.CL'!D74+'4.CL'!D84+'4.CL'!D94-D84+'1.EE'!D38</f>
        <v>28963.6674236554</v>
      </c>
      <c r="E80" s="344" t="n">
        <f aca="false">'1.EE'!E35+'2.GN'!E21+'3.GLP'!E39+'4.CL'!E74+'4.CL'!E84+'4.CL'!E94-E84+'1.EE'!E38</f>
        <v>27331.9312765058</v>
      </c>
      <c r="F80" s="344" t="n">
        <f aca="false">'1.EE'!F35+'2.GN'!F21+'3.GLP'!F39+'4.CL'!F74+'4.CL'!F84+'4.CL'!F94-F84+'1.EE'!F38</f>
        <v>28197.3349089287</v>
      </c>
      <c r="G80" s="344" t="n">
        <f aca="false">'1.EE'!G35+'2.GN'!G21+'3.GLP'!G39+'4.CL'!G74+'4.CL'!G84+'4.CL'!G94-G84+'1.EE'!G38</f>
        <v>26503.6441502563</v>
      </c>
      <c r="H80" s="332" t="n">
        <f aca="false">(F80-B80)/B80</f>
        <v>0.0272840244273568</v>
      </c>
      <c r="I80" s="351"/>
      <c r="N80" s="105"/>
      <c r="O80" s="338"/>
      <c r="P80" s="338"/>
      <c r="Q80" s="338"/>
      <c r="R80" s="338"/>
      <c r="S80" s="338"/>
      <c r="T80" s="338"/>
      <c r="U80" s="338"/>
      <c r="V80" s="338"/>
      <c r="W80" s="340"/>
    </row>
    <row r="81" customFormat="false" ht="13.5" hidden="false" customHeight="false" outlineLevel="0" collapsed="false">
      <c r="A81" s="330" t="s">
        <v>42</v>
      </c>
      <c r="B81" s="344" t="n">
        <f aca="false">'1.EE'!B36+'2.GN'!B22+'3.GLP'!B40+'4.CL'!B75+'4.CL'!B85</f>
        <v>44543.4785467151</v>
      </c>
      <c r="C81" s="344" t="n">
        <f aca="false">'1.EE'!C36+'2.GN'!C22+'3.GLP'!C40+'4.CL'!C75+'4.CL'!C85</f>
        <v>49471.8977830614</v>
      </c>
      <c r="D81" s="344" t="n">
        <f aca="false">'1.EE'!D36+'2.GN'!D22+'3.GLP'!D40+'4.CL'!D75+'4.CL'!D85</f>
        <v>47802.6338104749</v>
      </c>
      <c r="E81" s="344" t="n">
        <f aca="false">'1.EE'!E36+'2.GN'!E22+'3.GLP'!E40+'4.CL'!E75+'4.CL'!E85</f>
        <v>47363.936222367</v>
      </c>
      <c r="F81" s="344" t="n">
        <f aca="false">'1.EE'!F36+'2.GN'!F22+'3.GLP'!F40+'4.CL'!F75+'4.CL'!F85</f>
        <v>46531.6593420632</v>
      </c>
      <c r="G81" s="344" t="n">
        <f aca="false">'1.EE'!G36+'2.GN'!G22+'3.GLP'!G40+'4.CL'!G75+'4.CL'!G85</f>
        <v>49294.2576595082</v>
      </c>
      <c r="H81" s="332" t="n">
        <f aca="false">(F81-B81)/B81</f>
        <v>0.044634610053255</v>
      </c>
      <c r="I81" s="351"/>
      <c r="N81" s="105"/>
      <c r="O81" s="338"/>
      <c r="P81" s="338"/>
      <c r="Q81" s="338"/>
      <c r="R81" s="338"/>
      <c r="S81" s="338"/>
      <c r="T81" s="338"/>
      <c r="U81" s="338"/>
      <c r="V81" s="338"/>
      <c r="W81" s="340"/>
    </row>
    <row r="82" customFormat="false" ht="13.5" hidden="false" customHeight="false" outlineLevel="0" collapsed="false">
      <c r="A82" s="330" t="s">
        <v>44</v>
      </c>
      <c r="B82" s="344" t="n">
        <f aca="false">'1.EE'!B37+'2.GN'!B23+'3.GLP'!B41+'4.CL'!B76+'4.CL'!B86</f>
        <v>22624.6883334242</v>
      </c>
      <c r="C82" s="344" t="n">
        <f aca="false">'1.EE'!C37+'2.GN'!C23+'3.GLP'!C41+'4.CL'!C76+'4.CL'!C86</f>
        <v>23759.3785080101</v>
      </c>
      <c r="D82" s="344" t="n">
        <f aca="false">'1.EE'!D37+'2.GN'!D23+'3.GLP'!D41+'4.CL'!D76+'4.CL'!D86</f>
        <v>24855.8759331337</v>
      </c>
      <c r="E82" s="344" t="n">
        <f aca="false">'1.EE'!E37+'2.GN'!E23+'3.GLP'!E41+'4.CL'!E76+'4.CL'!E86</f>
        <v>24367.4342758006</v>
      </c>
      <c r="F82" s="344" t="n">
        <f aca="false">'1.EE'!F37+'2.GN'!F23+'3.GLP'!F41+'4.CL'!F76+'4.CL'!F86</f>
        <v>23271.611774067</v>
      </c>
      <c r="G82" s="344" t="n">
        <f aca="false">'1.EE'!G37+'2.GN'!G23+'3.GLP'!G41+'4.CL'!G76+'4.CL'!G86</f>
        <v>22664.6299709449</v>
      </c>
      <c r="H82" s="332" t="n">
        <f aca="false">(F82-B82)/B82</f>
        <v>0.0285936951311328</v>
      </c>
      <c r="I82" s="351"/>
      <c r="N82" s="105"/>
      <c r="O82" s="338"/>
      <c r="P82" s="338"/>
      <c r="Q82" s="338"/>
      <c r="R82" s="338"/>
      <c r="S82" s="338"/>
      <c r="T82" s="338"/>
      <c r="U82" s="338"/>
      <c r="V82" s="338"/>
      <c r="W82" s="340"/>
    </row>
    <row r="83" customFormat="false" ht="13.5" hidden="false" customHeight="false" outlineLevel="0" collapsed="false">
      <c r="A83" s="330" t="s">
        <v>73</v>
      </c>
      <c r="B83" s="353" t="n">
        <f aca="false">'6.RESIDUS'!B48</f>
        <v>8729.33717074606</v>
      </c>
      <c r="C83" s="353" t="n">
        <f aca="false">'6.RESIDUS'!C48</f>
        <v>9238.7148318758</v>
      </c>
      <c r="D83" s="353" t="n">
        <f aca="false">'6.RESIDUS'!D48</f>
        <v>10218.822147659</v>
      </c>
      <c r="E83" s="353" t="n">
        <f aca="false">'6.RESIDUS'!E48</f>
        <v>8981.01779429749</v>
      </c>
      <c r="F83" s="353" t="n">
        <f aca="false">'6.RESIDUS'!F48</f>
        <v>8007.43090743706</v>
      </c>
      <c r="G83" s="353" t="n">
        <f aca="false">'6.RESIDUS'!G48</f>
        <v>8033.92078866066</v>
      </c>
      <c r="H83" s="354" t="n">
        <f aca="false">(F83-B83)/B83</f>
        <v>-0.0826988635206194</v>
      </c>
      <c r="I83" s="351"/>
      <c r="N83" s="105"/>
      <c r="O83" s="338"/>
      <c r="P83" s="338"/>
      <c r="Q83" s="338"/>
      <c r="R83" s="338"/>
      <c r="S83" s="338"/>
      <c r="T83" s="338"/>
      <c r="U83" s="338"/>
      <c r="V83" s="338"/>
      <c r="W83" s="340"/>
    </row>
    <row r="84" customFormat="false" ht="13.5" hidden="false" customHeight="false" outlineLevel="0" collapsed="false">
      <c r="A84" s="330" t="s">
        <v>603</v>
      </c>
      <c r="B84" s="344" t="n">
        <f aca="false">'7.AIGUA'!B54</f>
        <v>5059.356359382</v>
      </c>
      <c r="C84" s="344" t="n">
        <f aca="false">'7.AIGUA'!C54</f>
        <v>6064.308038664</v>
      </c>
      <c r="D84" s="344" t="n">
        <f aca="false">'7.AIGUA'!D54</f>
        <v>5559.329544048</v>
      </c>
      <c r="E84" s="344" t="n">
        <f aca="false">'7.AIGUA'!E54</f>
        <v>5878.39124928</v>
      </c>
      <c r="F84" s="344" t="n">
        <f aca="false">'7.AIGUA'!F54</f>
        <v>6211.316544048</v>
      </c>
      <c r="G84" s="344" t="n">
        <f aca="false">'7.AIGUA'!G54</f>
        <v>3867.280932867</v>
      </c>
      <c r="H84" s="332" t="n">
        <f aca="false">(F84-B84)/B84</f>
        <v>0.227689077985151</v>
      </c>
      <c r="I84" s="351"/>
      <c r="N84" s="105"/>
      <c r="O84" s="338"/>
      <c r="P84" s="338"/>
      <c r="Q84" s="338"/>
      <c r="R84" s="338"/>
      <c r="S84" s="338"/>
      <c r="T84" s="338"/>
      <c r="U84" s="338"/>
      <c r="V84" s="338"/>
      <c r="W84" s="340"/>
    </row>
    <row r="85" customFormat="false" ht="13.5" hidden="false" customHeight="false" outlineLevel="0" collapsed="false">
      <c r="A85" s="330" t="s">
        <v>596</v>
      </c>
      <c r="B85" s="331" t="n">
        <f aca="false">-'5.RENOVABLES'!B24+'5.RENOVABLES'!B25</f>
        <v>-9.982154</v>
      </c>
      <c r="C85" s="331" t="n">
        <f aca="false">-'5.RENOVABLES'!C24+'5.RENOVABLES'!C25</f>
        <v>-10.746372</v>
      </c>
      <c r="D85" s="331" t="n">
        <f aca="false">-'5.RENOVABLES'!D24+'5.RENOVABLES'!D25</f>
        <v>-9.713613</v>
      </c>
      <c r="E85" s="331" t="n">
        <f aca="false">-'5.RENOVABLES'!E24+'5.RENOVABLES'!E25</f>
        <v>-28.066896</v>
      </c>
      <c r="F85" s="331" t="n">
        <f aca="false">-'5.RENOVABLES'!F24+'5.RENOVABLES'!F25</f>
        <v>-66.262053</v>
      </c>
      <c r="G85" s="331" t="n">
        <f aca="false">-'5.RENOVABLES'!G24+'5.RENOVABLES'!G25</f>
        <v>-66.262053</v>
      </c>
      <c r="H85" s="332" t="n">
        <v>1</v>
      </c>
    </row>
    <row r="86" customFormat="false" ht="13.5" hidden="false" customHeight="false" outlineLevel="0" collapsed="false">
      <c r="A86" s="334" t="s">
        <v>590</v>
      </c>
      <c r="B86" s="355" t="n">
        <f aca="false">SUM(B78:B85)</f>
        <v>117622.102600357</v>
      </c>
      <c r="C86" s="355" t="n">
        <f aca="false">SUM(C78:C85)</f>
        <v>129256.941557902</v>
      </c>
      <c r="D86" s="355" t="n">
        <f aca="false">SUM(D78:D85)</f>
        <v>126905.394796801</v>
      </c>
      <c r="E86" s="355" t="n">
        <f aca="false">SUM(E78:E85)</f>
        <v>122789.37526919</v>
      </c>
      <c r="F86" s="355" t="n">
        <f aca="false">SUM(F78:F85)</f>
        <v>119474.447164161</v>
      </c>
      <c r="G86" s="355" t="n">
        <f aca="false">SUM(G78:G85)</f>
        <v>116576.730393547</v>
      </c>
      <c r="H86" s="337" t="n">
        <f aca="false">(F86-B86)/B86</f>
        <v>0.015748269439605</v>
      </c>
    </row>
    <row r="87" customFormat="false" ht="12" hidden="false" customHeight="true" outlineLevel="0" collapsed="false">
      <c r="A87" s="334" t="s">
        <v>292</v>
      </c>
      <c r="B87" s="355" t="n">
        <f aca="false">SUM(B78:B84)</f>
        <v>117632.084754357</v>
      </c>
      <c r="C87" s="355" t="n">
        <f aca="false">SUM(C78:C84)</f>
        <v>129267.687929902</v>
      </c>
      <c r="D87" s="355" t="n">
        <f aca="false">SUM(D78:D84)</f>
        <v>126915.108409801</v>
      </c>
      <c r="E87" s="355" t="n">
        <f aca="false">SUM(E78:E84)</f>
        <v>122817.44216519</v>
      </c>
      <c r="F87" s="355" t="n">
        <f aca="false">SUM(F78:F84)</f>
        <v>119540.709217161</v>
      </c>
      <c r="G87" s="355" t="n">
        <f aca="false">SUM(G78:G84)</f>
        <v>116642.992446547</v>
      </c>
      <c r="H87" s="337" t="n">
        <f aca="false">(F87-B87)/B87</f>
        <v>0.0162253730926297</v>
      </c>
    </row>
    <row r="88" customFormat="false" ht="13.5" hidden="false" customHeight="false" outlineLevel="0" collapsed="false">
      <c r="A88" s="356" t="s">
        <v>609</v>
      </c>
      <c r="B88" s="350" t="n">
        <f aca="false">+B53</f>
        <v>108902.747583611</v>
      </c>
      <c r="C88" s="350" t="n">
        <f aca="false">+C53</f>
        <v>120028.973098027</v>
      </c>
      <c r="D88" s="350" t="n">
        <f aca="false">+D53</f>
        <v>116696.286262142</v>
      </c>
      <c r="E88" s="350" t="n">
        <f aca="false">+E53</f>
        <v>113836.424370893</v>
      </c>
      <c r="F88" s="350" t="n">
        <f aca="false">+F53</f>
        <v>111533.278309724</v>
      </c>
      <c r="G88" s="357" t="n">
        <f aca="false">+G53</f>
        <v>108609.071657886</v>
      </c>
      <c r="H88" s="339"/>
    </row>
    <row r="89" customFormat="false" ht="13.5" hidden="false" customHeight="false" outlineLevel="0" collapsed="false">
      <c r="A89" s="98"/>
      <c r="B89" s="351"/>
      <c r="C89" s="351"/>
      <c r="D89" s="351"/>
      <c r="E89" s="351"/>
      <c r="F89" s="351"/>
      <c r="G89" s="351"/>
      <c r="H89" s="339"/>
    </row>
    <row r="90" customFormat="false" ht="13.5" hidden="false" customHeight="false" outlineLevel="0" collapsed="false">
      <c r="A90" s="194" t="s">
        <v>610</v>
      </c>
    </row>
    <row r="92" customFormat="false" ht="13.5" hidden="false" customHeight="false" outlineLevel="0" collapsed="false">
      <c r="A92" s="328" t="s">
        <v>587</v>
      </c>
      <c r="B92" s="328" t="n">
        <f aca="false">'0.DADES'!D37</f>
        <v>2005</v>
      </c>
      <c r="C92" s="328" t="n">
        <f aca="false">'0.DADES'!E37</f>
        <v>2006</v>
      </c>
      <c r="D92" s="328" t="n">
        <f aca="false">'0.DADES'!F37</f>
        <v>2007</v>
      </c>
      <c r="E92" s="328" t="n">
        <f aca="false">'0.DADES'!G37</f>
        <v>2008</v>
      </c>
      <c r="F92" s="328" t="n">
        <f aca="false">'0.DADES'!H37</f>
        <v>2009</v>
      </c>
      <c r="G92" s="328" t="n">
        <f aca="false">'0.DADES'!I37</f>
        <v>2010</v>
      </c>
      <c r="H92" s="328" t="s">
        <v>582</v>
      </c>
      <c r="O92" s="194" t="s">
        <v>611</v>
      </c>
    </row>
    <row r="93" customFormat="false" ht="13.5" hidden="false" customHeight="false" outlineLevel="0" collapsed="false">
      <c r="A93" s="330" t="s">
        <v>588</v>
      </c>
      <c r="B93" s="331" t="n">
        <f aca="false">'1.EE'!B7</f>
        <v>971.556252717973</v>
      </c>
      <c r="C93" s="331" t="n">
        <f aca="false">'1.EE'!C7</f>
        <v>1011.45382410064</v>
      </c>
      <c r="D93" s="331" t="n">
        <f aca="false">'1.EE'!D7</f>
        <v>844.224376625768</v>
      </c>
      <c r="E93" s="331" t="n">
        <f aca="false">'1.EE'!E7</f>
        <v>848.531255716752</v>
      </c>
      <c r="F93" s="331" t="n">
        <f aca="false">'1.EE'!F7</f>
        <v>866.73013547514</v>
      </c>
      <c r="G93" s="331" t="n">
        <f aca="false">'1.EE'!G7</f>
        <v>722.948958738352</v>
      </c>
      <c r="H93" s="332" t="n">
        <f aca="false">(F93-B93)/B93</f>
        <v>-0.107895056976451</v>
      </c>
      <c r="J93" s="194" t="s">
        <v>612</v>
      </c>
    </row>
    <row r="94" customFormat="false" ht="13.5" hidden="false" customHeight="false" outlineLevel="0" collapsed="false">
      <c r="A94" s="330" t="s">
        <v>117</v>
      </c>
      <c r="B94" s="331" t="n">
        <f aca="false">'4.CL'!B17</f>
        <v>6378.45783883012</v>
      </c>
      <c r="C94" s="331" t="n">
        <f aca="false">'4.CL'!C17</f>
        <v>5598.9888882353</v>
      </c>
      <c r="D94" s="331" t="n">
        <f aca="false">'4.CL'!D17</f>
        <v>4973.51126751592</v>
      </c>
      <c r="E94" s="331" t="n">
        <f aca="false">'4.CL'!E17</f>
        <v>4810.74190762621</v>
      </c>
      <c r="F94" s="331" t="n">
        <f aca="false">'4.CL'!F17</f>
        <v>3920.06090609555</v>
      </c>
      <c r="G94" s="331" t="n">
        <f aca="false">'4.CL'!G17</f>
        <v>3282.12208992601</v>
      </c>
      <c r="H94" s="332" t="n">
        <f aca="false">(F94-B94)/B94</f>
        <v>-0.385421836257754</v>
      </c>
    </row>
    <row r="95" customFormat="false" ht="13.5" hidden="false" customHeight="false" outlineLevel="0" collapsed="false">
      <c r="A95" s="334" t="s">
        <v>272</v>
      </c>
      <c r="B95" s="343" t="n">
        <f aca="false">+B93+B94</f>
        <v>7350.01409154809</v>
      </c>
      <c r="C95" s="343" t="n">
        <f aca="false">+C93+C94</f>
        <v>6610.44271233593</v>
      </c>
      <c r="D95" s="343" t="n">
        <f aca="false">+D93+D94</f>
        <v>5817.73564414169</v>
      </c>
      <c r="E95" s="343" t="n">
        <f aca="false">+E93+E94</f>
        <v>5659.27316334296</v>
      </c>
      <c r="F95" s="343" t="n">
        <f aca="false">+F93+F94</f>
        <v>4786.79104157069</v>
      </c>
      <c r="G95" s="343" t="n">
        <f aca="false">+G93+G94</f>
        <v>4005.07104866436</v>
      </c>
      <c r="H95" s="337" t="n">
        <f aca="false">(F95-B95)/B95</f>
        <v>-0.348737161323935</v>
      </c>
    </row>
    <row r="96" customFormat="false" ht="13.5" hidden="false" customHeight="false" outlineLevel="0" collapsed="false">
      <c r="A96" s="105"/>
      <c r="B96" s="338"/>
      <c r="C96" s="338"/>
      <c r="D96" s="338"/>
      <c r="E96" s="338"/>
      <c r="F96" s="338"/>
      <c r="G96" s="338"/>
      <c r="H96" s="339"/>
    </row>
    <row r="97" customFormat="false" ht="13.5" hidden="false" customHeight="false" outlineLevel="0" collapsed="false">
      <c r="A97" s="105"/>
      <c r="B97" s="338"/>
      <c r="C97" s="338"/>
      <c r="D97" s="338"/>
      <c r="E97" s="338"/>
      <c r="F97" s="338"/>
      <c r="G97" s="338"/>
      <c r="H97" s="339"/>
    </row>
    <row r="98" customFormat="false" ht="13.5" hidden="false" customHeight="false" outlineLevel="0" collapsed="false">
      <c r="A98" s="105"/>
      <c r="B98" s="338"/>
      <c r="C98" s="338"/>
      <c r="D98" s="338"/>
      <c r="E98" s="338"/>
      <c r="F98" s="338"/>
      <c r="G98" s="338"/>
      <c r="H98" s="339"/>
    </row>
    <row r="99" customFormat="false" ht="13.5" hidden="false" customHeight="false" outlineLevel="0" collapsed="false">
      <c r="A99" s="105"/>
      <c r="B99" s="338"/>
      <c r="C99" s="338"/>
      <c r="D99" s="338"/>
      <c r="E99" s="338"/>
      <c r="F99" s="338"/>
      <c r="G99" s="338"/>
      <c r="H99" s="339"/>
    </row>
    <row r="100" customFormat="false" ht="13.5" hidden="false" customHeight="false" outlineLevel="0" collapsed="false">
      <c r="A100" s="105"/>
      <c r="B100" s="338"/>
      <c r="C100" s="338"/>
      <c r="D100" s="338"/>
      <c r="E100" s="338"/>
      <c r="F100" s="338"/>
      <c r="G100" s="338"/>
      <c r="H100" s="339"/>
    </row>
    <row r="101" customFormat="false" ht="13.5" hidden="false" customHeight="false" outlineLevel="0" collapsed="false">
      <c r="A101" s="105"/>
      <c r="B101" s="338"/>
      <c r="C101" s="338"/>
      <c r="D101" s="338"/>
      <c r="E101" s="338"/>
      <c r="F101" s="338"/>
      <c r="G101" s="338"/>
      <c r="H101" s="339"/>
    </row>
    <row r="102" customFormat="false" ht="13.5" hidden="false" customHeight="false" outlineLevel="0" collapsed="false">
      <c r="A102" s="105"/>
      <c r="B102" s="338"/>
      <c r="C102" s="338"/>
      <c r="D102" s="338"/>
      <c r="E102" s="338"/>
      <c r="F102" s="338"/>
      <c r="G102" s="338"/>
      <c r="H102" s="339"/>
    </row>
    <row r="103" customFormat="false" ht="13.5" hidden="false" customHeight="false" outlineLevel="0" collapsed="false">
      <c r="A103" s="105"/>
      <c r="B103" s="338"/>
      <c r="C103" s="338"/>
      <c r="D103" s="338"/>
      <c r="E103" s="338"/>
      <c r="F103" s="338"/>
      <c r="G103" s="338"/>
      <c r="H103" s="339"/>
    </row>
    <row r="104" customFormat="false" ht="13.5" hidden="false" customHeight="false" outlineLevel="0" collapsed="false">
      <c r="A104" s="105"/>
      <c r="B104" s="338"/>
      <c r="C104" s="338"/>
      <c r="D104" s="338"/>
      <c r="E104" s="338"/>
      <c r="F104" s="338"/>
      <c r="G104" s="338"/>
      <c r="H104" s="339"/>
    </row>
    <row r="105" customFormat="false" ht="13.5" hidden="false" customHeight="false" outlineLevel="0" collapsed="false">
      <c r="A105" s="105"/>
      <c r="B105" s="338"/>
      <c r="C105" s="338"/>
      <c r="D105" s="338"/>
      <c r="E105" s="338"/>
      <c r="F105" s="338"/>
      <c r="G105" s="338"/>
      <c r="H105" s="339"/>
    </row>
    <row r="106" customFormat="false" ht="13.5" hidden="false" customHeight="false" outlineLevel="0" collapsed="false">
      <c r="A106" s="105"/>
      <c r="B106" s="338"/>
      <c r="C106" s="338"/>
      <c r="D106" s="338"/>
      <c r="E106" s="338"/>
      <c r="F106" s="338"/>
      <c r="G106" s="338"/>
      <c r="H106" s="339"/>
    </row>
    <row r="107" customFormat="false" ht="13.5" hidden="false" customHeight="false" outlineLevel="0" collapsed="false">
      <c r="A107" s="105"/>
      <c r="B107" s="338"/>
      <c r="C107" s="338"/>
      <c r="D107" s="338"/>
      <c r="E107" s="338"/>
      <c r="F107" s="338"/>
      <c r="G107" s="338"/>
      <c r="H107" s="339"/>
    </row>
    <row r="108" customFormat="false" ht="13.5" hidden="false" customHeight="false" outlineLevel="0" collapsed="false">
      <c r="A108" s="105"/>
      <c r="B108" s="338"/>
      <c r="C108" s="338"/>
      <c r="D108" s="338"/>
      <c r="E108" s="338"/>
      <c r="F108" s="338"/>
      <c r="G108" s="338"/>
      <c r="H108" s="339"/>
    </row>
    <row r="109" customFormat="false" ht="13.5" hidden="false" customHeight="false" outlineLevel="0" collapsed="false">
      <c r="A109" s="194" t="s">
        <v>613</v>
      </c>
      <c r="B109" s="338"/>
      <c r="C109" s="338"/>
      <c r="D109" s="338"/>
      <c r="E109" s="338"/>
      <c r="F109" s="338"/>
      <c r="G109" s="338"/>
      <c r="H109" s="339"/>
    </row>
    <row r="110" customFormat="false" ht="13.5" hidden="false" customHeight="false" outlineLevel="0" collapsed="false">
      <c r="A110" s="105"/>
      <c r="B110" s="338"/>
      <c r="C110" s="338"/>
      <c r="D110" s="338"/>
      <c r="E110" s="338"/>
      <c r="F110" s="338"/>
      <c r="G110" s="338"/>
      <c r="H110" s="339"/>
      <c r="J110" s="194" t="s">
        <v>614</v>
      </c>
      <c r="O110" s="194" t="s">
        <v>615</v>
      </c>
    </row>
    <row r="111" customFormat="false" ht="13.5" hidden="false" customHeight="false" outlineLevel="0" collapsed="false">
      <c r="A111" s="328" t="s">
        <v>587</v>
      </c>
      <c r="B111" s="328" t="n">
        <f aca="false">B92</f>
        <v>2005</v>
      </c>
      <c r="C111" s="328" t="n">
        <f aca="false">C92</f>
        <v>2006</v>
      </c>
      <c r="D111" s="328" t="n">
        <f aca="false">D92</f>
        <v>2007</v>
      </c>
      <c r="E111" s="328" t="n">
        <f aca="false">E92</f>
        <v>2008</v>
      </c>
      <c r="F111" s="328" t="n">
        <f aca="false">F92</f>
        <v>2009</v>
      </c>
      <c r="G111" s="328" t="n">
        <f aca="false">G92</f>
        <v>2010</v>
      </c>
      <c r="H111" s="328" t="s">
        <v>582</v>
      </c>
    </row>
    <row r="112" customFormat="false" ht="13.5" hidden="false" customHeight="false" outlineLevel="0" collapsed="false">
      <c r="A112" s="330" t="s">
        <v>588</v>
      </c>
      <c r="B112" s="331" t="n">
        <f aca="false">'1.EE'!B33</f>
        <v>819.799166043425</v>
      </c>
      <c r="C112" s="331" t="n">
        <f aca="false">'1.EE'!C33</f>
        <v>918.804653813018</v>
      </c>
      <c r="D112" s="331" t="n">
        <f aca="false">'1.EE'!D33</f>
        <v>693.192635647418</v>
      </c>
      <c r="E112" s="331" t="n">
        <f aca="false">'1.EE'!E33</f>
        <v>701.905054728897</v>
      </c>
      <c r="F112" s="331" t="n">
        <f aca="false">'1.EE'!F33</f>
        <v>735.073827896466</v>
      </c>
      <c r="G112" s="331" t="n">
        <f aca="false">'1.EE'!G33</f>
        <v>613.133011905996</v>
      </c>
      <c r="H112" s="332" t="n">
        <f aca="false">(F112-B112)/B112</f>
        <v>-0.103348895261588</v>
      </c>
    </row>
    <row r="113" customFormat="false" ht="13.5" hidden="false" customHeight="false" outlineLevel="0" collapsed="false">
      <c r="A113" s="330" t="s">
        <v>117</v>
      </c>
      <c r="B113" s="331" t="n">
        <f aca="false">'4.CL'!B82</f>
        <v>1703.04824296764</v>
      </c>
      <c r="C113" s="331" t="n">
        <f aca="false">'4.CL'!C82</f>
        <v>1494.93003315882</v>
      </c>
      <c r="D113" s="331" t="n">
        <f aca="false">'4.CL'!D82</f>
        <v>1327.92750842675</v>
      </c>
      <c r="E113" s="331" t="n">
        <f aca="false">'4.CL'!E82</f>
        <v>1284.4680893362</v>
      </c>
      <c r="F113" s="331" t="n">
        <f aca="false">'4.CL'!F82</f>
        <v>1046.65626192751</v>
      </c>
      <c r="G113" s="331" t="n">
        <f aca="false">'4.CL'!G82</f>
        <v>876.326598010245</v>
      </c>
      <c r="H113" s="332" t="n">
        <f aca="false">(F113-B113)/B113</f>
        <v>-0.385421836257753</v>
      </c>
    </row>
    <row r="114" customFormat="false" ht="13.5" hidden="false" customHeight="false" outlineLevel="0" collapsed="false">
      <c r="A114" s="334" t="s">
        <v>272</v>
      </c>
      <c r="B114" s="343" t="n">
        <f aca="false">+B112+B113</f>
        <v>2522.84740901107</v>
      </c>
      <c r="C114" s="343" t="n">
        <f aca="false">+C112+C113</f>
        <v>2413.73468697184</v>
      </c>
      <c r="D114" s="343" t="n">
        <f aca="false">+D112+D113</f>
        <v>2021.12014407417</v>
      </c>
      <c r="E114" s="343" t="n">
        <f aca="false">+E112+E113</f>
        <v>1986.37314406509</v>
      </c>
      <c r="F114" s="343" t="n">
        <f aca="false">+F112+F113</f>
        <v>1781.73008982398</v>
      </c>
      <c r="G114" s="343" t="n">
        <f aca="false">+G112+G113</f>
        <v>1489.45960991624</v>
      </c>
      <c r="H114" s="337" t="n">
        <f aca="false">(F114-B114)/B114</f>
        <v>-0.293762245207529</v>
      </c>
    </row>
    <row r="115" customFormat="false" ht="13.5" hidden="false" customHeight="false" outlineLevel="0" collapsed="false">
      <c r="A115" s="98"/>
      <c r="B115" s="351"/>
      <c r="C115" s="351"/>
      <c r="D115" s="351"/>
      <c r="E115" s="351"/>
      <c r="F115" s="351"/>
      <c r="G115" s="351"/>
      <c r="H115" s="339"/>
    </row>
    <row r="116" customFormat="false" ht="13.5" hidden="false" customHeight="false" outlineLevel="0" collapsed="false">
      <c r="A116" s="98"/>
      <c r="B116" s="351"/>
      <c r="C116" s="351"/>
      <c r="D116" s="351"/>
      <c r="E116" s="351"/>
      <c r="F116" s="351"/>
      <c r="G116" s="351"/>
      <c r="H116" s="339"/>
    </row>
    <row r="117" customFormat="false" ht="13.5" hidden="false" customHeight="false" outlineLevel="0" collapsed="false">
      <c r="A117" s="98"/>
      <c r="B117" s="351"/>
      <c r="C117" s="351"/>
      <c r="D117" s="351"/>
      <c r="E117" s="351"/>
      <c r="F117" s="351"/>
      <c r="G117" s="351"/>
      <c r="H117" s="339"/>
    </row>
    <row r="118" customFormat="false" ht="13.5" hidden="false" customHeight="false" outlineLevel="0" collapsed="false">
      <c r="A118" s="98"/>
      <c r="B118" s="351"/>
      <c r="C118" s="351"/>
      <c r="D118" s="351"/>
      <c r="E118" s="351"/>
      <c r="F118" s="351"/>
      <c r="G118" s="351"/>
      <c r="H118" s="339"/>
    </row>
    <row r="119" customFormat="false" ht="13.5" hidden="false" customHeight="false" outlineLevel="0" collapsed="false">
      <c r="A119" s="98"/>
      <c r="B119" s="351"/>
      <c r="C119" s="351"/>
      <c r="D119" s="351"/>
      <c r="E119" s="351"/>
      <c r="F119" s="351"/>
      <c r="G119" s="351"/>
      <c r="H119" s="339"/>
    </row>
    <row r="120" customFormat="false" ht="13.5" hidden="false" customHeight="false" outlineLevel="0" collapsed="false">
      <c r="A120" s="98"/>
      <c r="B120" s="351"/>
      <c r="C120" s="351"/>
      <c r="D120" s="351"/>
      <c r="E120" s="351"/>
      <c r="F120" s="351"/>
      <c r="G120" s="351"/>
      <c r="H120" s="339"/>
    </row>
    <row r="121" customFormat="false" ht="13.5" hidden="false" customHeight="false" outlineLevel="0" collapsed="false">
      <c r="A121" s="98"/>
      <c r="B121" s="351"/>
      <c r="C121" s="351"/>
      <c r="D121" s="351"/>
      <c r="E121" s="351"/>
      <c r="F121" s="351"/>
      <c r="G121" s="351"/>
      <c r="H121" s="339"/>
    </row>
    <row r="122" customFormat="false" ht="13.5" hidden="false" customHeight="false" outlineLevel="0" collapsed="false">
      <c r="A122" s="98"/>
      <c r="B122" s="351"/>
      <c r="C122" s="351"/>
      <c r="D122" s="351"/>
      <c r="E122" s="351"/>
      <c r="F122" s="351"/>
      <c r="G122" s="351"/>
      <c r="H122" s="339"/>
    </row>
    <row r="123" customFormat="false" ht="13.5" hidden="false" customHeight="false" outlineLevel="0" collapsed="false">
      <c r="A123" s="98"/>
      <c r="B123" s="351"/>
      <c r="C123" s="351"/>
      <c r="D123" s="351"/>
      <c r="E123" s="351"/>
      <c r="F123" s="351"/>
      <c r="G123" s="351"/>
      <c r="H123" s="339"/>
    </row>
    <row r="124" customFormat="false" ht="13.5" hidden="false" customHeight="false" outlineLevel="0" collapsed="false">
      <c r="A124" s="98"/>
      <c r="B124" s="351"/>
      <c r="C124" s="351"/>
      <c r="D124" s="351"/>
      <c r="E124" s="351"/>
      <c r="F124" s="351"/>
      <c r="G124" s="351"/>
      <c r="H124" s="339"/>
    </row>
    <row r="126" customFormat="false" ht="13.5" hidden="false" customHeight="false" outlineLevel="0" collapsed="false">
      <c r="J126" s="73"/>
      <c r="O126" s="194" t="s">
        <v>616</v>
      </c>
    </row>
    <row r="128" customFormat="false" ht="13.5" hidden="false" customHeight="false" outlineLevel="0" collapsed="false">
      <c r="J128" s="194" t="s">
        <v>617</v>
      </c>
    </row>
    <row r="129" customFormat="false" ht="13.5" hidden="false" customHeight="false" outlineLevel="0" collapsed="false">
      <c r="J129" s="73"/>
    </row>
    <row r="133" customFormat="false" ht="13.5" hidden="false" customHeight="false" outlineLevel="0" collapsed="false">
      <c r="A133" s="105"/>
      <c r="B133" s="338"/>
      <c r="C133" s="338"/>
      <c r="D133" s="338"/>
      <c r="E133" s="338"/>
      <c r="F133" s="338"/>
      <c r="G133" s="338"/>
      <c r="H133" s="339"/>
    </row>
    <row r="134" customFormat="false" ht="13.5" hidden="false" customHeight="false" outlineLevel="0" collapsed="false">
      <c r="A134" s="194" t="s">
        <v>618</v>
      </c>
    </row>
    <row r="136" customFormat="false" ht="13.5" hidden="false" customHeight="false" outlineLevel="0" collapsed="false">
      <c r="A136" s="328" t="s">
        <v>587</v>
      </c>
      <c r="B136" s="328" t="n">
        <f aca="false">'0.DADES'!D37</f>
        <v>2005</v>
      </c>
      <c r="C136" s="328" t="n">
        <f aca="false">'0.DADES'!E37</f>
        <v>2006</v>
      </c>
      <c r="D136" s="328" t="n">
        <f aca="false">'0.DADES'!F37</f>
        <v>2007</v>
      </c>
      <c r="E136" s="328" t="n">
        <f aca="false">'0.DADES'!G37</f>
        <v>2008</v>
      </c>
      <c r="F136" s="328" t="n">
        <f aca="false">'0.DADES'!H37</f>
        <v>2009</v>
      </c>
      <c r="G136" s="328" t="n">
        <f aca="false">'0.DADES'!I37</f>
        <v>2010</v>
      </c>
      <c r="H136" s="328" t="s">
        <v>582</v>
      </c>
    </row>
    <row r="137" customFormat="false" ht="13.5" hidden="false" customHeight="false" outlineLevel="0" collapsed="false">
      <c r="A137" s="330" t="s">
        <v>588</v>
      </c>
      <c r="B137" s="331" t="n">
        <f aca="false">'1.EE'!B8</f>
        <v>3803.70324535224</v>
      </c>
      <c r="C137" s="331" t="n">
        <f aca="false">'1.EE'!C8</f>
        <v>3888.11042445165</v>
      </c>
      <c r="D137" s="331" t="n">
        <f aca="false">'1.EE'!D8</f>
        <v>4048.68521128514</v>
      </c>
      <c r="E137" s="331" t="n">
        <f aca="false">'1.EE'!E8</f>
        <v>3662.50656185774</v>
      </c>
      <c r="F137" s="331" t="n">
        <f aca="false">'1.EE'!F8</f>
        <v>3326.1667030197</v>
      </c>
      <c r="G137" s="331" t="n">
        <f aca="false">'1.EE'!G8</f>
        <v>3091.51155812907</v>
      </c>
      <c r="H137" s="332" t="n">
        <f aca="false">(F137-B137)/B137</f>
        <v>-0.125545162577034</v>
      </c>
    </row>
    <row r="138" customFormat="false" ht="13.5" hidden="false" customHeight="false" outlineLevel="0" collapsed="false">
      <c r="A138" s="330" t="s">
        <v>53</v>
      </c>
      <c r="B138" s="331" t="n">
        <f aca="false">'3.GLP'!B8</f>
        <v>493.693830596128</v>
      </c>
      <c r="C138" s="331" t="n">
        <f aca="false">'3.GLP'!C8</f>
        <v>464.551091032312</v>
      </c>
      <c r="D138" s="331" t="n">
        <f aca="false">'3.GLP'!D8</f>
        <v>448.082663228898</v>
      </c>
      <c r="E138" s="331" t="n">
        <f aca="false">'3.GLP'!E8</f>
        <v>434.316074630335</v>
      </c>
      <c r="F138" s="331" t="n">
        <f aca="false">'3.GLP'!F8</f>
        <v>413.569281112564</v>
      </c>
      <c r="G138" s="331" t="n">
        <f aca="false">'3.GLP'!G8</f>
        <v>386.67336420061</v>
      </c>
      <c r="H138" s="332" t="n">
        <f aca="false">(F138-B138)/B138</f>
        <v>-0.162296031503603</v>
      </c>
    </row>
    <row r="139" customFormat="false" ht="13.5" hidden="false" customHeight="false" outlineLevel="0" collapsed="false">
      <c r="A139" s="330" t="s">
        <v>117</v>
      </c>
      <c r="B139" s="331" t="n">
        <f aca="false">'4.CL'!B18</f>
        <v>9058.92768938543</v>
      </c>
      <c r="C139" s="331" t="n">
        <f aca="false">'4.CL'!C18</f>
        <v>10998.6635843776</v>
      </c>
      <c r="D139" s="331" t="n">
        <f aca="false">'4.CL'!D18</f>
        <v>12064.7892356538</v>
      </c>
      <c r="E139" s="331" t="n">
        <f aca="false">'4.CL'!E18</f>
        <v>10570.9658564363</v>
      </c>
      <c r="F139" s="331" t="n">
        <f aca="false">'4.CL'!F18</f>
        <v>9768.84146780733</v>
      </c>
      <c r="G139" s="331" t="n">
        <f aca="false">'4.CL'!G18</f>
        <v>7732.75877791344</v>
      </c>
      <c r="H139" s="332" t="n">
        <f aca="false">(F139-B139)/B139</f>
        <v>0.0783662043415719</v>
      </c>
    </row>
    <row r="140" customFormat="false" ht="13.5" hidden="false" customHeight="false" outlineLevel="0" collapsed="false">
      <c r="A140" s="330" t="s">
        <v>119</v>
      </c>
      <c r="B140" s="331" t="n">
        <f aca="false">'4.CL'!B29</f>
        <v>3382.60694765981</v>
      </c>
      <c r="C140" s="331" t="n">
        <f aca="false">'4.CL'!C29</f>
        <v>3014.6934302017</v>
      </c>
      <c r="D140" s="331" t="n">
        <f aca="false">'4.CL'!D29</f>
        <v>2968.66958320958</v>
      </c>
      <c r="E140" s="331" t="n">
        <f aca="false">'4.CL'!E29</f>
        <v>3369.97199612655</v>
      </c>
      <c r="F140" s="331" t="n">
        <f aca="false">'4.CL'!F29</f>
        <v>0</v>
      </c>
      <c r="G140" s="331" t="n">
        <f aca="false">'4.CL'!G29</f>
        <v>0</v>
      </c>
      <c r="H140" s="332" t="n">
        <f aca="false">(F140-B140)/B140</f>
        <v>-1</v>
      </c>
    </row>
    <row r="141" customFormat="false" ht="13.5" hidden="false" customHeight="false" outlineLevel="0" collapsed="false">
      <c r="A141" s="334" t="s">
        <v>272</v>
      </c>
      <c r="B141" s="343" t="n">
        <f aca="false">+B137+B138+B139+B140</f>
        <v>16738.9317129936</v>
      </c>
      <c r="C141" s="343" t="n">
        <f aca="false">+C137+C138+C139+C140</f>
        <v>18366.0185300632</v>
      </c>
      <c r="D141" s="343" t="n">
        <f aca="false">+D137+D138+D139+D140</f>
        <v>19530.2266933774</v>
      </c>
      <c r="E141" s="343" t="n">
        <f aca="false">+E137+E138+E139+E140</f>
        <v>18037.7604890509</v>
      </c>
      <c r="F141" s="343" t="n">
        <f aca="false">+F137+F138+F139+F140</f>
        <v>13508.5774519396</v>
      </c>
      <c r="G141" s="343" t="n">
        <f aca="false">+G137+G138+G139+G140</f>
        <v>11210.9437002431</v>
      </c>
      <c r="H141" s="337" t="n">
        <f aca="false">(F141-B141)/B141</f>
        <v>-0.192984493660754</v>
      </c>
    </row>
    <row r="142" customFormat="false" ht="13.5" hidden="false" customHeight="false" outlineLevel="0" collapsed="false">
      <c r="A142" s="105"/>
      <c r="B142" s="338"/>
      <c r="C142" s="338"/>
      <c r="D142" s="338"/>
      <c r="E142" s="338"/>
      <c r="F142" s="338"/>
      <c r="G142" s="338"/>
      <c r="H142" s="339"/>
    </row>
    <row r="143" customFormat="false" ht="13.5" hidden="false" customHeight="false" outlineLevel="0" collapsed="false">
      <c r="A143" s="194" t="s">
        <v>619</v>
      </c>
      <c r="B143" s="338"/>
      <c r="C143" s="338"/>
      <c r="D143" s="338"/>
      <c r="E143" s="338"/>
      <c r="F143" s="338"/>
      <c r="G143" s="338"/>
      <c r="H143" s="339"/>
    </row>
    <row r="144" customFormat="false" ht="13.5" hidden="false" customHeight="false" outlineLevel="0" collapsed="false">
      <c r="A144" s="105"/>
      <c r="B144" s="338"/>
      <c r="C144" s="338"/>
      <c r="D144" s="338"/>
      <c r="E144" s="338"/>
      <c r="F144" s="338"/>
      <c r="G144" s="338"/>
      <c r="H144" s="339"/>
    </row>
    <row r="145" customFormat="false" ht="13.5" hidden="false" customHeight="false" outlineLevel="0" collapsed="false">
      <c r="A145" s="328" t="s">
        <v>587</v>
      </c>
      <c r="B145" s="328" t="n">
        <f aca="false">B136</f>
        <v>2005</v>
      </c>
      <c r="C145" s="328" t="n">
        <f aca="false">C136</f>
        <v>2006</v>
      </c>
      <c r="D145" s="328" t="n">
        <f aca="false">D136</f>
        <v>2007</v>
      </c>
      <c r="E145" s="328" t="n">
        <f aca="false">E136</f>
        <v>2008</v>
      </c>
      <c r="F145" s="328" t="n">
        <f aca="false">F136</f>
        <v>2009</v>
      </c>
      <c r="G145" s="328" t="n">
        <f aca="false">G136</f>
        <v>2010</v>
      </c>
      <c r="H145" s="328" t="s">
        <v>582</v>
      </c>
      <c r="O145" s="194" t="s">
        <v>620</v>
      </c>
    </row>
    <row r="146" customFormat="false" ht="13.5" hidden="false" customHeight="false" outlineLevel="0" collapsed="false">
      <c r="A146" s="330" t="s">
        <v>588</v>
      </c>
      <c r="B146" s="331" t="n">
        <f aca="false">'1.EE'!B34</f>
        <v>3209.56479842822</v>
      </c>
      <c r="C146" s="331" t="n">
        <f aca="false">'1.EE'!C34</f>
        <v>3531.95950957188</v>
      </c>
      <c r="D146" s="331" t="n">
        <f aca="false">'1.EE'!D34</f>
        <v>3324.37542698623</v>
      </c>
      <c r="E146" s="331" t="n">
        <f aca="false">'1.EE'!E34</f>
        <v>3029.62542796873</v>
      </c>
      <c r="F146" s="331" t="n">
        <f aca="false">'1.EE'!F34</f>
        <v>2820.92198083101</v>
      </c>
      <c r="G146" s="331" t="n">
        <f aca="false">'1.EE'!G34</f>
        <v>2621.91095244926</v>
      </c>
      <c r="H146" s="332" t="n">
        <f aca="false">(F146-B146)/B146</f>
        <v>-0.121088945699908</v>
      </c>
    </row>
    <row r="147" customFormat="false" ht="13.5" hidden="false" customHeight="false" outlineLevel="0" collapsed="false">
      <c r="A147" s="330" t="s">
        <v>53</v>
      </c>
      <c r="B147" s="331" t="n">
        <f aca="false">'3.GLP'!B38</f>
        <v>131.816252769166</v>
      </c>
      <c r="C147" s="331" t="n">
        <f aca="false">'3.GLP'!C38</f>
        <v>124.035141305627</v>
      </c>
      <c r="D147" s="331" t="n">
        <f aca="false">'3.GLP'!D38</f>
        <v>119.638071082116</v>
      </c>
      <c r="E147" s="331" t="n">
        <f aca="false">'3.GLP'!E38</f>
        <v>115.9623919263</v>
      </c>
      <c r="F147" s="331" t="n">
        <f aca="false">'3.GLP'!F38</f>
        <v>110.422998057055</v>
      </c>
      <c r="G147" s="331" t="n">
        <f aca="false">'3.GLP'!G38</f>
        <v>103.241788241563</v>
      </c>
      <c r="H147" s="332" t="n">
        <f aca="false">(F147-B147)/B147</f>
        <v>-0.162296031503603</v>
      </c>
    </row>
    <row r="148" customFormat="false" ht="13.5" hidden="false" customHeight="false" outlineLevel="0" collapsed="false">
      <c r="A148" s="330" t="s">
        <v>117</v>
      </c>
      <c r="B148" s="331" t="n">
        <f aca="false">'4.CL'!B83</f>
        <v>2418.73369306591</v>
      </c>
      <c r="C148" s="331" t="n">
        <f aca="false">'4.CL'!C83</f>
        <v>2936.64317702881</v>
      </c>
      <c r="D148" s="331" t="n">
        <f aca="false">'4.CL'!D83</f>
        <v>3221.29872591956</v>
      </c>
      <c r="E148" s="331" t="n">
        <f aca="false">'4.CL'!E83</f>
        <v>2822.44788366849</v>
      </c>
      <c r="F148" s="331" t="n">
        <f aca="false">'4.CL'!F83</f>
        <v>2608.28067190456</v>
      </c>
      <c r="G148" s="331" t="n">
        <f aca="false">'4.CL'!G83</f>
        <v>2064.64659370289</v>
      </c>
      <c r="H148" s="332" t="n">
        <f aca="false">(F148-B148)/B148</f>
        <v>0.0783662043415718</v>
      </c>
    </row>
    <row r="149" customFormat="false" ht="13.5" hidden="false" customHeight="false" outlineLevel="0" collapsed="false">
      <c r="A149" s="330" t="s">
        <v>119</v>
      </c>
      <c r="B149" s="331" t="n">
        <f aca="false">'4.CL'!B93</f>
        <v>943.830950344547</v>
      </c>
      <c r="C149" s="331" t="n">
        <f aca="false">'4.CL'!C93</f>
        <v>841.181680611108</v>
      </c>
      <c r="D149" s="331" t="n">
        <f aca="false">'4.CL'!D93</f>
        <v>828.347182767713</v>
      </c>
      <c r="E149" s="331" t="n">
        <f aca="false">'4.CL'!E93</f>
        <v>940.322499310876</v>
      </c>
      <c r="F149" s="331" t="n">
        <f aca="false">'4.CL'!F93</f>
        <v>0</v>
      </c>
      <c r="G149" s="331" t="n">
        <f aca="false">'4.CL'!G93</f>
        <v>0</v>
      </c>
      <c r="H149" s="332" t="n">
        <f aca="false">(F149-B149)/B149</f>
        <v>-1</v>
      </c>
    </row>
    <row r="150" customFormat="false" ht="13.5" hidden="false" customHeight="false" outlineLevel="0" collapsed="false">
      <c r="A150" s="334" t="s">
        <v>272</v>
      </c>
      <c r="B150" s="343" t="n">
        <f aca="false">+B146+B147+B148+B149</f>
        <v>6703.94569460785</v>
      </c>
      <c r="C150" s="343" t="n">
        <f aca="false">+C146+C147+C148+C149</f>
        <v>7433.81950851742</v>
      </c>
      <c r="D150" s="343" t="n">
        <f aca="false">+D146+D147+D148+D149</f>
        <v>7493.65940675562</v>
      </c>
      <c r="E150" s="343" t="n">
        <f aca="false">+E146+E147+E148+E149</f>
        <v>6908.35820287439</v>
      </c>
      <c r="F150" s="343" t="n">
        <f aca="false">+F146+F147+F148+F149</f>
        <v>5539.62565079262</v>
      </c>
      <c r="G150" s="343" t="n">
        <f aca="false">+G146+G147+G148+G149</f>
        <v>4789.79933439371</v>
      </c>
      <c r="H150" s="337" t="n">
        <f aca="false">(F150-B150)/B150</f>
        <v>-0.173676831056629</v>
      </c>
    </row>
    <row r="151" customFormat="false" ht="13.5" hidden="false" customHeight="false" outlineLevel="0" collapsed="false">
      <c r="A151" s="98"/>
      <c r="B151" s="351"/>
      <c r="C151" s="351"/>
      <c r="D151" s="351"/>
      <c r="E151" s="351"/>
      <c r="F151" s="351"/>
      <c r="G151" s="351"/>
      <c r="H151" s="339"/>
    </row>
    <row r="152" customFormat="false" ht="13.5" hidden="false" customHeight="false" outlineLevel="0" collapsed="false">
      <c r="A152" s="98"/>
      <c r="B152" s="351"/>
      <c r="C152" s="351"/>
      <c r="D152" s="351"/>
      <c r="E152" s="351"/>
      <c r="F152" s="351"/>
      <c r="G152" s="351"/>
      <c r="H152" s="339"/>
    </row>
    <row r="154" s="73" customFormat="true" ht="13.5" hidden="false" customHeight="false" outlineLevel="0" collapsed="false"/>
    <row r="155" s="73" customFormat="true" ht="13.5" hidden="false" customHeight="false" outlineLevel="0" collapsed="false"/>
    <row r="156" s="73" customFormat="true" ht="13.5" hidden="false" customHeight="false" outlineLevel="0" collapsed="false"/>
    <row r="157" s="73" customFormat="true" ht="13.5" hidden="false" customHeight="false" outlineLevel="0" collapsed="false">
      <c r="I157" s="329"/>
      <c r="J157" s="329"/>
    </row>
    <row r="158" s="73" customFormat="true" ht="13.5" hidden="false" customHeight="false" outlineLevel="0" collapsed="false">
      <c r="I158" s="358"/>
      <c r="J158" s="304"/>
    </row>
    <row r="159" customFormat="false" ht="13.5" hidden="false" customHeight="false" outlineLevel="0" collapsed="false">
      <c r="I159" s="358"/>
      <c r="J159" s="83" t="s">
        <v>621</v>
      </c>
    </row>
    <row r="160" customFormat="false" ht="13.5" hidden="false" customHeight="false" outlineLevel="0" collapsed="false">
      <c r="I160" s="338"/>
      <c r="J160" s="359"/>
    </row>
    <row r="163" customFormat="false" ht="13.5" hidden="false" customHeight="false" outlineLevel="0" collapsed="false">
      <c r="A163" s="73" t="s">
        <v>622</v>
      </c>
    </row>
    <row r="164" customFormat="false" ht="13.5" hidden="false" customHeight="false" outlineLevel="0" collapsed="false">
      <c r="A164" s="83" t="s">
        <v>623</v>
      </c>
    </row>
    <row r="166" customFormat="false" ht="27" hidden="false" customHeight="false" outlineLevel="0" collapsed="false">
      <c r="A166" s="360" t="s">
        <v>624</v>
      </c>
      <c r="B166" s="328" t="n">
        <f aca="false">'0.DADES'!D37</f>
        <v>2005</v>
      </c>
      <c r="C166" s="328" t="n">
        <f aca="false">'0.DADES'!E37</f>
        <v>2006</v>
      </c>
      <c r="D166" s="328" t="n">
        <f aca="false">'0.DADES'!F37</f>
        <v>2007</v>
      </c>
      <c r="E166" s="328" t="n">
        <f aca="false">'0.DADES'!G37</f>
        <v>2008</v>
      </c>
      <c r="F166" s="328" t="n">
        <f aca="false">'0.DADES'!H37</f>
        <v>2009</v>
      </c>
      <c r="G166" s="328" t="n">
        <f aca="false">'0.DADES'!I37</f>
        <v>2010</v>
      </c>
      <c r="H166" s="328" t="s">
        <v>582</v>
      </c>
    </row>
    <row r="167" customFormat="false" ht="13.5" hidden="false" customHeight="false" outlineLevel="0" collapsed="false">
      <c r="A167" s="330" t="s">
        <v>625</v>
      </c>
      <c r="B167" s="361" t="n">
        <f aca="false">B36</f>
        <v>242376.23692171</v>
      </c>
      <c r="C167" s="361" t="n">
        <f aca="false">C36</f>
        <v>258791.914369263</v>
      </c>
      <c r="D167" s="361" t="n">
        <f aca="false">D36</f>
        <v>269371.474045008</v>
      </c>
      <c r="E167" s="361" t="n">
        <f aca="false">E36</f>
        <v>257804.261490724</v>
      </c>
      <c r="F167" s="361" t="n">
        <f aca="false">F36</f>
        <v>243301.401274299</v>
      </c>
      <c r="G167" s="361" t="n">
        <f aca="false">G36</f>
        <v>228977.873183547</v>
      </c>
      <c r="H167" s="332" t="n">
        <f aca="false">(F167-B167)/B167</f>
        <v>0.00381705881871379</v>
      </c>
    </row>
    <row r="168" customFormat="false" ht="13.5" hidden="false" customHeight="false" outlineLevel="0" collapsed="false">
      <c r="A168" s="330" t="s">
        <v>626</v>
      </c>
      <c r="B168" s="362"/>
      <c r="C168" s="362"/>
      <c r="D168" s="362"/>
      <c r="E168" s="362"/>
      <c r="F168" s="362"/>
      <c r="G168" s="362"/>
      <c r="H168" s="332" t="e">
        <f aca="false">(D168-B168)/B168</f>
        <v>#DIV/0!</v>
      </c>
    </row>
    <row r="169" customFormat="false" ht="13.5" hidden="false" customHeight="false" outlineLevel="0" collapsed="false">
      <c r="A169" s="330" t="s">
        <v>627</v>
      </c>
      <c r="B169" s="343" t="e">
        <f aca="false">B167/B168</f>
        <v>#DIV/0!</v>
      </c>
      <c r="C169" s="343" t="e">
        <f aca="false">C167/C168</f>
        <v>#DIV/0!</v>
      </c>
      <c r="D169" s="343" t="e">
        <f aca="false">D167/D168</f>
        <v>#DIV/0!</v>
      </c>
      <c r="E169" s="343" t="e">
        <f aca="false">E167/E168</f>
        <v>#DIV/0!</v>
      </c>
      <c r="F169" s="343" t="e">
        <f aca="false">F167/F168</f>
        <v>#DIV/0!</v>
      </c>
      <c r="G169" s="343" t="e">
        <f aca="false">G167/G168</f>
        <v>#DIV/0!</v>
      </c>
      <c r="H169" s="336" t="e">
        <f aca="false">(D169-B169)/B169</f>
        <v>#DIV/0!</v>
      </c>
    </row>
  </sheetData>
  <mergeCells count="2">
    <mergeCell ref="A39:H39"/>
    <mergeCell ref="A56:H56"/>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rowBreaks count="1" manualBreakCount="1">
    <brk id="153" man="true" max="16383" min="0"/>
  </rowBreaks>
  <colBreaks count="1" manualBreakCount="1">
    <brk id="13" man="true" max="65535" min="0"/>
  </colBreaks>
  <drawing r:id="rId1"/>
</worksheet>
</file>

<file path=xl/worksheets/sheet17.xml><?xml version="1.0" encoding="utf-8"?>
<worksheet xmlns="http://schemas.openxmlformats.org/spreadsheetml/2006/main" xmlns:r="http://schemas.openxmlformats.org/officeDocument/2006/relationships">
  <sheetPr filterMode="false">
    <tabColor rgb="FFFFFF00"/>
    <pageSetUpPr fitToPage="false"/>
  </sheetPr>
  <dimension ref="A1:BR419"/>
  <sheetViews>
    <sheetView windowProtection="false" showFormulas="false" showGridLines="true" showRowColHeaders="true" showZeros="true" rightToLeft="false" tabSelected="false" showOutlineSymbols="true" defaultGridColor="true" view="normal" topLeftCell="A58" colorId="64" zoomScale="90" zoomScaleNormal="90" zoomScalePageLayoutView="100" workbookViewId="0">
      <selection pane="topLeft" activeCell="G40" activeCellId="0" sqref="G40"/>
    </sheetView>
  </sheetViews>
  <sheetFormatPr defaultRowHeight="13.5"/>
  <cols>
    <col collapsed="false" hidden="false" max="1" min="1" style="363" width="18.2244897959184"/>
    <col collapsed="false" hidden="false" max="2" min="2" style="363" width="11.3418367346939"/>
    <col collapsed="false" hidden="false" max="7" min="3" style="363" width="9.85204081632653"/>
    <col collapsed="false" hidden="false" max="8" min="8" style="363" width="11.4744897959184"/>
    <col collapsed="false" hidden="false" max="9" min="9" style="73" width="11.4744897959184"/>
    <col collapsed="false" hidden="false" max="10" min="10" style="73" width="11.7448979591837"/>
    <col collapsed="false" hidden="false" max="42" min="11" style="73" width="11.2040816326531"/>
    <col collapsed="false" hidden="false" max="1025" min="43" style="363" width="11.2040816326531"/>
  </cols>
  <sheetData>
    <row r="1" s="73" customFormat="true" ht="13.5" hidden="false" customHeight="false" outlineLevel="0" collapsed="false">
      <c r="A1" s="73" t="str">
        <f aca="false">'0.DADES'!D2</f>
        <v>Andratx</v>
      </c>
    </row>
    <row r="2" s="73" customFormat="true" ht="13.5" hidden="false" customHeight="false" outlineLevel="0" collapsed="false">
      <c r="A2" s="363"/>
    </row>
    <row r="3" s="73" customFormat="true" ht="13.5" hidden="false" customHeight="false" outlineLevel="0" collapsed="false">
      <c r="A3" s="305" t="s">
        <v>576</v>
      </c>
      <c r="B3" s="305"/>
      <c r="C3" s="305"/>
      <c r="D3" s="305"/>
      <c r="E3" s="305"/>
      <c r="F3" s="305"/>
      <c r="G3" s="305"/>
      <c r="H3" s="305"/>
      <c r="J3" s="304"/>
      <c r="K3" s="304"/>
      <c r="L3" s="304"/>
      <c r="M3" s="304"/>
      <c r="W3" s="304"/>
      <c r="X3" s="304"/>
      <c r="Y3" s="304"/>
      <c r="Z3" s="304"/>
    </row>
    <row r="4" s="73" customFormat="true" ht="13.5" hidden="false" customHeight="false" outlineLevel="0" collapsed="false">
      <c r="A4" s="305" t="s">
        <v>577</v>
      </c>
      <c r="B4" s="305"/>
      <c r="C4" s="305"/>
      <c r="D4" s="305"/>
      <c r="E4" s="305"/>
      <c r="F4" s="305"/>
      <c r="G4" s="305"/>
      <c r="H4" s="305"/>
      <c r="J4" s="304"/>
      <c r="K4" s="304"/>
      <c r="L4" s="304"/>
      <c r="M4" s="304"/>
      <c r="W4" s="304"/>
      <c r="X4" s="304"/>
      <c r="Y4" s="304"/>
      <c r="Z4" s="304"/>
    </row>
    <row r="5" s="73" customFormat="true" ht="13.5" hidden="false" customHeight="false" outlineLevel="0" collapsed="false">
      <c r="A5" s="305" t="s">
        <v>578</v>
      </c>
      <c r="B5" s="305"/>
      <c r="C5" s="305"/>
      <c r="D5" s="305"/>
      <c r="E5" s="305"/>
      <c r="F5" s="305"/>
      <c r="G5" s="305"/>
      <c r="H5" s="305"/>
      <c r="J5" s="304"/>
      <c r="K5" s="304"/>
      <c r="L5" s="304"/>
      <c r="M5" s="304"/>
      <c r="W5" s="304"/>
      <c r="X5" s="304"/>
      <c r="Y5" s="304"/>
      <c r="Z5" s="304"/>
    </row>
    <row r="6" s="73" customFormat="true" ht="13.5" hidden="false" customHeight="false" outlineLevel="0" collapsed="false">
      <c r="A6" s="305" t="s">
        <v>579</v>
      </c>
      <c r="B6" s="305"/>
      <c r="C6" s="305"/>
      <c r="D6" s="305"/>
      <c r="E6" s="305"/>
      <c r="F6" s="305"/>
      <c r="G6" s="305"/>
      <c r="H6" s="305"/>
      <c r="J6" s="304"/>
      <c r="K6" s="304"/>
      <c r="L6" s="304"/>
      <c r="M6" s="304"/>
      <c r="W6" s="304"/>
      <c r="X6" s="304"/>
      <c r="Y6" s="304"/>
      <c r="Z6" s="304"/>
    </row>
    <row r="7" s="73" customFormat="true" ht="14.25" hidden="false" customHeight="false" outlineLevel="0" collapsed="false">
      <c r="A7" s="363"/>
      <c r="B7" s="363"/>
      <c r="C7" s="363"/>
      <c r="D7" s="363"/>
      <c r="E7" s="363"/>
      <c r="F7" s="363"/>
      <c r="G7" s="363"/>
      <c r="H7" s="363"/>
    </row>
    <row r="8" s="73" customFormat="true" ht="13.5" hidden="false" customHeight="false" outlineLevel="0" collapsed="false">
      <c r="A8" s="363"/>
      <c r="B8" s="306" t="n">
        <f aca="false">'0.DADES'!D8</f>
        <v>2005</v>
      </c>
      <c r="C8" s="306" t="n">
        <f aca="false">'0.DADES'!E8</f>
        <v>2006</v>
      </c>
      <c r="D8" s="306" t="n">
        <f aca="false">'0.DADES'!F8</f>
        <v>2007</v>
      </c>
      <c r="E8" s="306" t="n">
        <f aca="false">'0.DADES'!G8</f>
        <v>2008</v>
      </c>
      <c r="F8" s="306" t="n">
        <f aca="false">'0.DADES'!H8</f>
        <v>2009</v>
      </c>
      <c r="G8" s="306" t="n">
        <f aca="false">'0.DADES'!I8</f>
        <v>2010</v>
      </c>
      <c r="H8" s="304"/>
    </row>
    <row r="9" s="73" customFormat="true" ht="13.5" hidden="false" customHeight="false" outlineLevel="0" collapsed="false">
      <c r="A9" s="75" t="s">
        <v>402</v>
      </c>
      <c r="B9" s="307" t="n">
        <f aca="false">'0.DADES'!D13</f>
        <v>11037</v>
      </c>
      <c r="C9" s="307" t="n">
        <f aca="false">'0.DADES'!E13</f>
        <v>11594</v>
      </c>
      <c r="D9" s="307" t="n">
        <f aca="false">'0.DADES'!F13</f>
        <v>12091</v>
      </c>
      <c r="E9" s="307" t="n">
        <f aca="false">'0.DADES'!G13</f>
        <v>12406</v>
      </c>
      <c r="F9" s="307" t="n">
        <f aca="false">'0.DADES'!H13</f>
        <v>12789</v>
      </c>
      <c r="G9" s="307" t="n">
        <f aca="false">'0.DADES'!I13</f>
        <v>12731</v>
      </c>
      <c r="H9" s="304"/>
    </row>
    <row r="10" s="73" customFormat="true" ht="13.5" hidden="false" customHeight="false" outlineLevel="0" collapsed="false">
      <c r="A10" s="363"/>
      <c r="B10" s="363"/>
      <c r="C10" s="363"/>
      <c r="D10" s="363"/>
      <c r="E10" s="363"/>
      <c r="F10" s="363"/>
      <c r="G10" s="363"/>
      <c r="H10" s="363"/>
    </row>
    <row r="11" s="73" customFormat="true" ht="13.5" hidden="false" customHeight="false" outlineLevel="0" collapsed="false">
      <c r="A11" s="75" t="s">
        <v>398</v>
      </c>
      <c r="B11" s="308" t="n">
        <f aca="false">B8</f>
        <v>2005</v>
      </c>
      <c r="C11" s="308" t="n">
        <f aca="false">C8</f>
        <v>2006</v>
      </c>
      <c r="D11" s="308" t="n">
        <f aca="false">D8</f>
        <v>2007</v>
      </c>
      <c r="E11" s="308" t="n">
        <f aca="false">E8</f>
        <v>2008</v>
      </c>
      <c r="F11" s="308" t="n">
        <f aca="false">F8</f>
        <v>2009</v>
      </c>
      <c r="G11" s="308" t="n">
        <f aca="false">G8</f>
        <v>2010</v>
      </c>
      <c r="H11" s="304"/>
    </row>
    <row r="12" s="73" customFormat="true" ht="13.5" hidden="false" customHeight="false" outlineLevel="0" collapsed="false">
      <c r="A12" s="75" t="s">
        <v>253</v>
      </c>
      <c r="B12" s="74" t="n">
        <f aca="false">'0.DADES'!D39</f>
        <v>0.8438</v>
      </c>
      <c r="C12" s="74" t="n">
        <f aca="false">'0.DADES'!E39</f>
        <v>0.9084</v>
      </c>
      <c r="D12" s="74" t="n">
        <f aca="false">'0.DADES'!F39</f>
        <v>0.8211</v>
      </c>
      <c r="E12" s="74" t="n">
        <f aca="false">'0.DADES'!G39</f>
        <v>0.8272</v>
      </c>
      <c r="F12" s="74" t="n">
        <f aca="false">'0.DADES'!H39</f>
        <v>0.8481</v>
      </c>
      <c r="G12" s="74" t="n">
        <f aca="false">'0.DADES'!I39</f>
        <v>0.8481</v>
      </c>
      <c r="H12" s="309"/>
    </row>
    <row r="13" s="73" customFormat="true" ht="13.5" hidden="false" customHeight="false" outlineLevel="0" collapsed="false">
      <c r="A13" s="75" t="s">
        <v>51</v>
      </c>
      <c r="B13" s="74" t="n">
        <f aca="false">'0.DADES'!D40</f>
        <v>0.202</v>
      </c>
      <c r="C13" s="74" t="n">
        <f aca="false">'0.DADES'!E40</f>
        <v>0.202</v>
      </c>
      <c r="D13" s="74" t="n">
        <f aca="false">'0.DADES'!F40</f>
        <v>0.202</v>
      </c>
      <c r="E13" s="74" t="n">
        <f aca="false">'0.DADES'!G40</f>
        <v>0.202</v>
      </c>
      <c r="F13" s="74" t="n">
        <f aca="false">'0.DADES'!H40</f>
        <v>0.202</v>
      </c>
      <c r="G13" s="74" t="n">
        <f aca="false">'0.DADES'!I40</f>
        <v>0.202</v>
      </c>
      <c r="H13" s="309"/>
    </row>
    <row r="14" s="73" customFormat="true" ht="13.5" hidden="false" customHeight="false" outlineLevel="0" collapsed="false">
      <c r="A14" s="75" t="s">
        <v>53</v>
      </c>
      <c r="B14" s="74" t="n">
        <f aca="false">'0.DADES'!D41</f>
        <v>0.227</v>
      </c>
      <c r="C14" s="74" t="n">
        <f aca="false">'0.DADES'!E41</f>
        <v>0.227</v>
      </c>
      <c r="D14" s="74" t="n">
        <f aca="false">'0.DADES'!F41</f>
        <v>0.227</v>
      </c>
      <c r="E14" s="74" t="n">
        <f aca="false">'0.DADES'!G41</f>
        <v>0.227</v>
      </c>
      <c r="F14" s="74" t="n">
        <f aca="false">'0.DADES'!H41</f>
        <v>0.227</v>
      </c>
      <c r="G14" s="74" t="n">
        <f aca="false">'0.DADES'!I41</f>
        <v>0.227</v>
      </c>
      <c r="H14" s="363"/>
    </row>
    <row r="15" s="73" customFormat="true" ht="13.5" hidden="false" customHeight="false" outlineLevel="0" collapsed="false">
      <c r="A15" s="75" t="s">
        <v>143</v>
      </c>
      <c r="B15" s="74" t="n">
        <f aca="false">'0.DADES'!D42</f>
        <v>0.267</v>
      </c>
      <c r="C15" s="74" t="n">
        <f aca="false">'0.DADES'!E42</f>
        <v>0.267</v>
      </c>
      <c r="D15" s="74" t="n">
        <f aca="false">'0.DADES'!F42</f>
        <v>0.267</v>
      </c>
      <c r="E15" s="74" t="n">
        <f aca="false">'0.DADES'!G42</f>
        <v>0.267</v>
      </c>
      <c r="F15" s="74" t="n">
        <f aca="false">'0.DADES'!H42</f>
        <v>0.267</v>
      </c>
      <c r="G15" s="74" t="n">
        <f aca="false">'0.DADES'!I42</f>
        <v>0.267</v>
      </c>
      <c r="H15" s="363"/>
    </row>
    <row r="16" s="73" customFormat="true" ht="13.5" hidden="false" customHeight="false" outlineLevel="0" collapsed="false">
      <c r="A16" s="75" t="s">
        <v>118</v>
      </c>
      <c r="B16" s="74" t="n">
        <f aca="false">'0.DADES'!D43</f>
        <v>0.249</v>
      </c>
      <c r="C16" s="74" t="n">
        <f aca="false">'0.DADES'!E43</f>
        <v>0.249</v>
      </c>
      <c r="D16" s="74" t="n">
        <f aca="false">'0.DADES'!F43</f>
        <v>0.249</v>
      </c>
      <c r="E16" s="74" t="n">
        <f aca="false">'0.DADES'!G43</f>
        <v>0.249</v>
      </c>
      <c r="F16" s="74" t="n">
        <f aca="false">'0.DADES'!H43</f>
        <v>0.249</v>
      </c>
      <c r="G16" s="74" t="n">
        <f aca="false">'0.DADES'!I43</f>
        <v>0.249</v>
      </c>
      <c r="H16" s="309"/>
    </row>
    <row r="17" s="73" customFormat="true" ht="13.5" hidden="false" customHeight="false" outlineLevel="0" collapsed="false">
      <c r="A17" s="363"/>
      <c r="B17" s="363"/>
      <c r="C17" s="363"/>
      <c r="D17" s="363"/>
      <c r="E17" s="363"/>
      <c r="F17" s="363"/>
      <c r="G17" s="363"/>
      <c r="H17" s="363"/>
      <c r="V17" s="194" t="s">
        <v>628</v>
      </c>
    </row>
    <row r="18" s="73" customFormat="true" ht="13.5" hidden="false" customHeight="false" outlineLevel="0" collapsed="false">
      <c r="A18" s="363"/>
      <c r="B18" s="363"/>
      <c r="C18" s="363"/>
      <c r="D18" s="363"/>
      <c r="E18" s="363"/>
      <c r="F18" s="363"/>
      <c r="G18" s="363"/>
      <c r="H18" s="363"/>
      <c r="J18" s="194" t="s">
        <v>629</v>
      </c>
      <c r="P18" s="194" t="s">
        <v>630</v>
      </c>
    </row>
    <row r="19" s="73" customFormat="true" ht="13.5" hidden="false" customHeight="false" outlineLevel="0" collapsed="false">
      <c r="A19" s="194" t="s">
        <v>631</v>
      </c>
      <c r="B19" s="363"/>
      <c r="C19" s="363"/>
      <c r="D19" s="363"/>
      <c r="E19" s="363"/>
      <c r="F19" s="363"/>
      <c r="G19" s="363"/>
      <c r="H19" s="363"/>
      <c r="P19" s="194"/>
    </row>
    <row r="20" s="73" customFormat="true" ht="13.5" hidden="false" customHeight="false" outlineLevel="0" collapsed="false">
      <c r="A20" s="363"/>
      <c r="B20" s="363"/>
      <c r="C20" s="363"/>
      <c r="D20" s="363"/>
      <c r="E20" s="363"/>
      <c r="F20" s="363"/>
      <c r="G20" s="363"/>
      <c r="H20" s="363"/>
    </row>
    <row r="21" s="73" customFormat="true" ht="13.5" hidden="false" customHeight="false" outlineLevel="0" collapsed="false">
      <c r="A21" s="328" t="s">
        <v>587</v>
      </c>
      <c r="B21" s="328" t="n">
        <f aca="false">B8</f>
        <v>2005</v>
      </c>
      <c r="C21" s="328" t="n">
        <f aca="false">C8</f>
        <v>2006</v>
      </c>
      <c r="D21" s="328" t="n">
        <f aca="false">D8</f>
        <v>2007</v>
      </c>
      <c r="E21" s="328" t="n">
        <f aca="false">E8</f>
        <v>2008</v>
      </c>
      <c r="F21" s="328" t="n">
        <f aca="false">F8</f>
        <v>2009</v>
      </c>
      <c r="G21" s="328" t="n">
        <f aca="false">G8</f>
        <v>2010</v>
      </c>
      <c r="H21" s="328" t="s">
        <v>582</v>
      </c>
    </row>
    <row r="22" s="73" customFormat="true" ht="13.5" hidden="false" customHeight="false" outlineLevel="0" collapsed="false">
      <c r="A22" s="330" t="s">
        <v>588</v>
      </c>
      <c r="B22" s="364" t="n">
        <f aca="false">'1.EE'!B14</f>
        <v>72850.7405019298</v>
      </c>
      <c r="C22" s="364" t="n">
        <f aca="false">'1.EE'!C14</f>
        <v>75444.4357514477</v>
      </c>
      <c r="D22" s="364" t="n">
        <f aca="false">'1.EE'!D14</f>
        <v>76991.0904120891</v>
      </c>
      <c r="E22" s="364" t="n">
        <f aca="false">'1.EE'!E14</f>
        <v>76827.9621824255</v>
      </c>
      <c r="F22" s="364" t="n">
        <f aca="false">'1.EE'!F14</f>
        <v>76942.1031615051</v>
      </c>
      <c r="G22" s="364" t="n">
        <f aca="false">'1.EE'!G14</f>
        <v>78833.6404831326</v>
      </c>
      <c r="H22" s="365" t="n">
        <f aca="false">(F22-B22)/B22</f>
        <v>0.0561608932371385</v>
      </c>
    </row>
    <row r="23" s="73" customFormat="true" ht="13.5" hidden="true" customHeight="false" outlineLevel="0" collapsed="false">
      <c r="A23" s="330" t="s">
        <v>51</v>
      </c>
      <c r="B23" s="364" t="n">
        <f aca="false">'2.GN'!B13</f>
        <v>0</v>
      </c>
      <c r="C23" s="364" t="n">
        <f aca="false">'2.GN'!C13</f>
        <v>0</v>
      </c>
      <c r="D23" s="364" t="n">
        <f aca="false">'2.GN'!D13</f>
        <v>0</v>
      </c>
      <c r="E23" s="364" t="n">
        <f aca="false">'2.GN'!E13</f>
        <v>0</v>
      </c>
      <c r="F23" s="364" t="n">
        <f aca="false">'2.GN'!F13</f>
        <v>0</v>
      </c>
      <c r="G23" s="364" t="n">
        <f aca="false">'2.GN'!G13</f>
        <v>0</v>
      </c>
      <c r="H23" s="365" t="n">
        <v>0</v>
      </c>
    </row>
    <row r="24" s="73" customFormat="true" ht="13.5" hidden="false" customHeight="false" outlineLevel="0" collapsed="false">
      <c r="A24" s="330" t="s">
        <v>53</v>
      </c>
      <c r="B24" s="364" t="n">
        <f aca="false">'3.GLP'!B13</f>
        <v>10421.5682052401</v>
      </c>
      <c r="C24" s="364" t="n">
        <f aca="false">'3.GLP'!C13</f>
        <v>9832.90668244073</v>
      </c>
      <c r="D24" s="364" t="n">
        <f aca="false">'3.GLP'!D13</f>
        <v>9177.83028822554</v>
      </c>
      <c r="E24" s="364" t="n">
        <f aca="false">'3.GLP'!E13</f>
        <v>8917.82358088166</v>
      </c>
      <c r="F24" s="364" t="n">
        <f aca="false">'3.GLP'!F13</f>
        <v>8361.11718081349</v>
      </c>
      <c r="G24" s="364" t="n">
        <f aca="false">'3.GLP'!G13</f>
        <v>7688.16429681725</v>
      </c>
      <c r="H24" s="365" t="n">
        <f aca="false">(F24-B24)/B24</f>
        <v>-0.197710266233312</v>
      </c>
    </row>
    <row r="25" s="73" customFormat="true" ht="13.5" hidden="false" customHeight="false" outlineLevel="0" collapsed="false">
      <c r="A25" s="330" t="s">
        <v>117</v>
      </c>
      <c r="B25" s="364" t="n">
        <f aca="false">'4.CL'!B23</f>
        <v>100177.851280179</v>
      </c>
      <c r="C25" s="364" t="n">
        <f aca="false">'4.CL'!C23</f>
        <v>113128.276610513</v>
      </c>
      <c r="D25" s="364" t="n">
        <f aca="false">'4.CL'!D23</f>
        <v>122657.72356414</v>
      </c>
      <c r="E25" s="364" t="n">
        <f aca="false">'4.CL'!E23</f>
        <v>114807.441533116</v>
      </c>
      <c r="F25" s="364" t="n">
        <f aca="false">'4.CL'!F23</f>
        <v>107717.016298789</v>
      </c>
      <c r="G25" s="364" t="n">
        <f aca="false">'4.CL'!G23</f>
        <v>96416.0551424335</v>
      </c>
      <c r="H25" s="365" t="n">
        <f aca="false">(F25-B25)/B25</f>
        <v>0.0752578032196386</v>
      </c>
    </row>
    <row r="26" s="73" customFormat="true" ht="13.5" hidden="false" customHeight="false" outlineLevel="0" collapsed="false">
      <c r="A26" s="330" t="s">
        <v>118</v>
      </c>
      <c r="B26" s="364" t="n">
        <f aca="false">'4.CL'!B13</f>
        <v>34836.8314454196</v>
      </c>
      <c r="C26" s="364" t="n">
        <f aca="false">'4.CL'!C13</f>
        <v>35409.5394101154</v>
      </c>
      <c r="D26" s="364" t="n">
        <f aca="false">'4.CL'!D13</f>
        <v>35196.5507080797</v>
      </c>
      <c r="E26" s="364" t="n">
        <f aca="false">'4.CL'!E13</f>
        <v>33553.6409992852</v>
      </c>
      <c r="F26" s="364" t="n">
        <f aca="false">'4.CL'!F13</f>
        <v>31985.7961396805</v>
      </c>
      <c r="G26" s="364" t="n">
        <f aca="false">'4.CL'!G13</f>
        <v>30823.9985122559</v>
      </c>
      <c r="H26" s="365" t="n">
        <f aca="false">(F26-B26)/B26</f>
        <v>-0.0818396848234007</v>
      </c>
    </row>
    <row r="27" s="73" customFormat="true" ht="13.5" hidden="false" customHeight="false" outlineLevel="0" collapsed="false">
      <c r="A27" s="330" t="s">
        <v>119</v>
      </c>
      <c r="B27" s="364" t="n">
        <f aca="false">'4.CL'!B34</f>
        <v>0.29968439949787</v>
      </c>
      <c r="C27" s="364" t="n">
        <f aca="false">'4.CL'!C34</f>
        <v>0.2946723470723</v>
      </c>
      <c r="D27" s="364" t="n">
        <f aca="false">'4.CL'!D34</f>
        <v>0.316734954263055</v>
      </c>
      <c r="E27" s="364" t="n">
        <f aca="false">'4.CL'!E34</f>
        <v>0.359542622105368</v>
      </c>
      <c r="F27" s="364" t="n">
        <f aca="false">'4.CL'!F34</f>
        <v>0</v>
      </c>
      <c r="G27" s="364" t="n">
        <f aca="false">'4.CL'!G34</f>
        <v>0</v>
      </c>
      <c r="H27" s="365" t="n">
        <f aca="false">(F27-B27)/B27</f>
        <v>-1</v>
      </c>
    </row>
    <row r="28" s="73" customFormat="true" ht="13.5" hidden="false" customHeight="false" outlineLevel="0" collapsed="false">
      <c r="A28" s="330" t="s">
        <v>589</v>
      </c>
      <c r="B28" s="364" t="n">
        <f aca="false">-'5.RENOVABLES'!B20</f>
        <v>-11.83</v>
      </c>
      <c r="C28" s="364" t="n">
        <f aca="false">-'5.RENOVABLES'!C20</f>
        <v>-11.83</v>
      </c>
      <c r="D28" s="364" t="n">
        <f aca="false">-'5.RENOVABLES'!D20</f>
        <v>-11.83</v>
      </c>
      <c r="E28" s="364" t="n">
        <f aca="false">-'5.RENOVABLES'!E20</f>
        <v>-33.93</v>
      </c>
      <c r="F28" s="364" t="n">
        <f aca="false">-'5.RENOVABLES'!F20</f>
        <v>-78.13</v>
      </c>
      <c r="G28" s="364" t="n">
        <f aca="false">-'5.RENOVABLES'!G20</f>
        <v>-78.13</v>
      </c>
      <c r="H28" s="365" t="n">
        <f aca="false">(F28-B28)/B28</f>
        <v>5.6043956043956</v>
      </c>
    </row>
    <row r="29" s="73" customFormat="true" ht="13.5" hidden="false" customHeight="false" outlineLevel="0" collapsed="false">
      <c r="A29" s="334" t="s">
        <v>590</v>
      </c>
      <c r="B29" s="366" t="n">
        <f aca="false">SUM(B22:B27)</f>
        <v>218287.291117168</v>
      </c>
      <c r="C29" s="366" t="n">
        <f aca="false">SUM(C22:C27)</f>
        <v>233815.453126864</v>
      </c>
      <c r="D29" s="366" t="n">
        <f aca="false">SUM(D22:D27)</f>
        <v>244023.511707489</v>
      </c>
      <c r="E29" s="366" t="n">
        <f aca="false">SUM(E22:E27)</f>
        <v>234107.22783833</v>
      </c>
      <c r="F29" s="366" t="n">
        <f aca="false">SUM(F22:F27)</f>
        <v>225006.032780788</v>
      </c>
      <c r="G29" s="366" t="n">
        <f aca="false">SUM(G22:G27)</f>
        <v>213761.858434639</v>
      </c>
      <c r="H29" s="367" t="n">
        <f aca="false">(F29-B29)/B29</f>
        <v>0.030779353343176</v>
      </c>
    </row>
    <row r="30" s="73" customFormat="true" ht="13.5" hidden="false" customHeight="false" outlineLevel="0" collapsed="false">
      <c r="A30" s="334" t="s">
        <v>272</v>
      </c>
      <c r="B30" s="366" t="n">
        <f aca="false">+B22+B23+B24+B25+B26+B27</f>
        <v>218287.291117168</v>
      </c>
      <c r="C30" s="366" t="n">
        <f aca="false">+C22+C23+C24+C25+C26+C27</f>
        <v>233815.453126864</v>
      </c>
      <c r="D30" s="366" t="n">
        <f aca="false">+D22+D23+D24+D25+D26+D27</f>
        <v>244023.511707489</v>
      </c>
      <c r="E30" s="366" t="n">
        <f aca="false">+E22+E23+E24+E25+E26+E27</f>
        <v>234107.227838331</v>
      </c>
      <c r="F30" s="366" t="n">
        <f aca="false">+F22+F23+F24+F25+F26+F27</f>
        <v>225006.032780788</v>
      </c>
      <c r="G30" s="366" t="n">
        <f aca="false">+G22+G23+G24+G25+G26+G27</f>
        <v>213761.858434639</v>
      </c>
      <c r="H30" s="367" t="n">
        <f aca="false">(F30-B30)/B30</f>
        <v>0.030779353343176</v>
      </c>
    </row>
    <row r="31" s="73" customFormat="true" ht="13.5" hidden="false" customHeight="false" outlineLevel="0" collapsed="false">
      <c r="A31" s="363"/>
      <c r="B31" s="368" t="n">
        <f aca="false">B59</f>
        <v>218287.291117168</v>
      </c>
      <c r="C31" s="368" t="n">
        <f aca="false">C59</f>
        <v>233815.453126864</v>
      </c>
      <c r="D31" s="368" t="n">
        <f aca="false">D59</f>
        <v>244023.511707489</v>
      </c>
      <c r="E31" s="368" t="n">
        <f aca="false">E59</f>
        <v>234107.22783833</v>
      </c>
      <c r="F31" s="368" t="n">
        <f aca="false">F59</f>
        <v>225006.032780788</v>
      </c>
      <c r="G31" s="368" t="n">
        <f aca="false">G59</f>
        <v>213761.858434639</v>
      </c>
      <c r="H31" s="363"/>
    </row>
    <row r="32" s="73" customFormat="true" ht="30" hidden="false" customHeight="true" outlineLevel="0" collapsed="false">
      <c r="A32" s="342" t="s">
        <v>591</v>
      </c>
      <c r="B32" s="342"/>
      <c r="C32" s="342"/>
      <c r="D32" s="342"/>
      <c r="E32" s="342"/>
      <c r="F32" s="342"/>
      <c r="G32" s="342"/>
      <c r="H32" s="342"/>
    </row>
    <row r="33" s="73" customFormat="true" ht="13.5" hidden="false" customHeight="false" outlineLevel="0" collapsed="false">
      <c r="A33" s="363"/>
      <c r="B33" s="363"/>
      <c r="C33" s="363"/>
      <c r="D33" s="363"/>
      <c r="E33" s="363"/>
      <c r="F33" s="363"/>
      <c r="G33" s="363"/>
      <c r="H33" s="363"/>
      <c r="J33" s="194" t="s">
        <v>632</v>
      </c>
    </row>
    <row r="34" s="73" customFormat="true" ht="13.5" hidden="false" customHeight="false" outlineLevel="0" collapsed="false">
      <c r="A34" s="194" t="s">
        <v>633</v>
      </c>
      <c r="B34" s="338"/>
      <c r="C34" s="338"/>
      <c r="D34" s="338"/>
      <c r="E34" s="338"/>
      <c r="F34" s="338"/>
      <c r="G34" s="338"/>
      <c r="H34" s="339"/>
      <c r="P34" s="194" t="s">
        <v>634</v>
      </c>
      <c r="V34" s="194" t="s">
        <v>635</v>
      </c>
    </row>
    <row r="35" s="73" customFormat="true" ht="13.5" hidden="false" customHeight="false" outlineLevel="0" collapsed="false">
      <c r="A35" s="105"/>
      <c r="B35" s="338"/>
      <c r="C35" s="338"/>
      <c r="D35" s="338"/>
      <c r="E35" s="338"/>
      <c r="F35" s="338"/>
      <c r="G35" s="338"/>
      <c r="H35" s="339"/>
    </row>
    <row r="36" s="73" customFormat="true" ht="13.5" hidden="false" customHeight="false" outlineLevel="0" collapsed="false">
      <c r="A36" s="328" t="s">
        <v>587</v>
      </c>
      <c r="B36" s="328" t="n">
        <f aca="false">B8</f>
        <v>2005</v>
      </c>
      <c r="C36" s="328" t="n">
        <f aca="false">C8</f>
        <v>2006</v>
      </c>
      <c r="D36" s="328" t="n">
        <f aca="false">D8</f>
        <v>2007</v>
      </c>
      <c r="E36" s="328" t="n">
        <f aca="false">E8</f>
        <v>2008</v>
      </c>
      <c r="F36" s="328" t="n">
        <f aca="false">F8</f>
        <v>2009</v>
      </c>
      <c r="G36" s="328" t="n">
        <f aca="false">G8</f>
        <v>2010</v>
      </c>
      <c r="H36" s="328" t="s">
        <v>582</v>
      </c>
    </row>
    <row r="37" s="73" customFormat="true" ht="13.5" hidden="false" customHeight="false" outlineLevel="0" collapsed="false">
      <c r="A37" s="330" t="s">
        <v>588</v>
      </c>
      <c r="B37" s="364" t="n">
        <f aca="false">'1.EE'!B40</f>
        <v>61471.4548355284</v>
      </c>
      <c r="C37" s="364" t="n">
        <f aca="false">'1.EE'!C40</f>
        <v>68533.7254366151</v>
      </c>
      <c r="D37" s="364" t="n">
        <f aca="false">'1.EE'!D40</f>
        <v>63217.3843373664</v>
      </c>
      <c r="E37" s="364" t="n">
        <f aca="false">'1.EE'!E40</f>
        <v>63552.0903173024</v>
      </c>
      <c r="F37" s="364" t="n">
        <f aca="false">'1.EE'!F40</f>
        <v>65254.5976912725</v>
      </c>
      <c r="G37" s="364" t="n">
        <f aca="false">'1.EE'!G40</f>
        <v>66858.8104937447</v>
      </c>
      <c r="H37" s="365" t="n">
        <f aca="false">(F37-B37)/B37</f>
        <v>0.0615430831410491</v>
      </c>
    </row>
    <row r="38" s="73" customFormat="true" ht="13.5" hidden="true" customHeight="false" outlineLevel="0" collapsed="false">
      <c r="A38" s="330" t="s">
        <v>51</v>
      </c>
      <c r="B38" s="364" t="n">
        <f aca="false">'2.GN'!B25</f>
        <v>0</v>
      </c>
      <c r="C38" s="364" t="n">
        <f aca="false">'2.GN'!C25</f>
        <v>0</v>
      </c>
      <c r="D38" s="364" t="n">
        <f aca="false">'2.GN'!D25</f>
        <v>0</v>
      </c>
      <c r="E38" s="364" t="n">
        <f aca="false">'2.GN'!E25</f>
        <v>0</v>
      </c>
      <c r="F38" s="364" t="n">
        <f aca="false">'2.GN'!F25</f>
        <v>0</v>
      </c>
      <c r="G38" s="364" t="n">
        <f aca="false">'2.GN'!G25</f>
        <v>0</v>
      </c>
      <c r="H38" s="365" t="n">
        <v>0</v>
      </c>
    </row>
    <row r="39" s="73" customFormat="true" ht="13.5" hidden="false" customHeight="false" outlineLevel="0" collapsed="false">
      <c r="A39" s="330" t="s">
        <v>53</v>
      </c>
      <c r="B39" s="364" t="n">
        <f aca="false">'3.GLP'!B43</f>
        <v>2782.55871079912</v>
      </c>
      <c r="C39" s="364" t="n">
        <f aca="false">'3.GLP'!C43</f>
        <v>2625.38608421167</v>
      </c>
      <c r="D39" s="364" t="n">
        <f aca="false">'3.GLP'!D43</f>
        <v>2450.48068695622</v>
      </c>
      <c r="E39" s="364" t="n">
        <f aca="false">'3.GLP'!E43</f>
        <v>2381.0588960954</v>
      </c>
      <c r="F39" s="364" t="n">
        <f aca="false">'3.GLP'!F43</f>
        <v>2232.4182872772</v>
      </c>
      <c r="G39" s="364" t="n">
        <f aca="false">'3.GLP'!G43</f>
        <v>2052.73986725021</v>
      </c>
      <c r="H39" s="365" t="n">
        <f aca="false">(F39-B39)/B39</f>
        <v>-0.197710266233313</v>
      </c>
    </row>
    <row r="40" s="73" customFormat="true" ht="13.5" hidden="false" customHeight="false" outlineLevel="0" collapsed="false">
      <c r="A40" s="330" t="s">
        <v>117</v>
      </c>
      <c r="B40" s="364" t="n">
        <f aca="false">'4.CL'!B88</f>
        <v>26747.4862918079</v>
      </c>
      <c r="C40" s="364" t="n">
        <f aca="false">'4.CL'!C88</f>
        <v>30205.249855007</v>
      </c>
      <c r="D40" s="364" t="n">
        <f aca="false">'4.CL'!D88</f>
        <v>32749.6121916254</v>
      </c>
      <c r="E40" s="364" t="n">
        <f aca="false">'4.CL'!E88</f>
        <v>30653.586889342</v>
      </c>
      <c r="F40" s="364" t="n">
        <f aca="false">'4.CL'!F88</f>
        <v>28760.4433517767</v>
      </c>
      <c r="G40" s="364" t="n">
        <f aca="false">'4.CL'!G88</f>
        <v>25743.0867230297</v>
      </c>
      <c r="H40" s="365" t="n">
        <f aca="false">(F40-B40)/B40</f>
        <v>0.0752578032196386</v>
      </c>
    </row>
    <row r="41" s="73" customFormat="true" ht="13.5" hidden="false" customHeight="false" outlineLevel="0" collapsed="false">
      <c r="A41" s="330" t="s">
        <v>118</v>
      </c>
      <c r="B41" s="364" t="n">
        <f aca="false">'4.CL'!B78</f>
        <v>8674.37102990949</v>
      </c>
      <c r="C41" s="364" t="n">
        <f aca="false">'4.CL'!C78</f>
        <v>8816.97531311874</v>
      </c>
      <c r="D41" s="364" t="n">
        <f aca="false">'4.CL'!D78</f>
        <v>8763.94112631185</v>
      </c>
      <c r="E41" s="364" t="n">
        <f aca="false">'4.CL'!E78</f>
        <v>8354.85660882202</v>
      </c>
      <c r="F41" s="364" t="n">
        <f aca="false">'4.CL'!F78</f>
        <v>7964.46323878046</v>
      </c>
      <c r="G41" s="364" t="n">
        <f aca="false">'4.CL'!G78</f>
        <v>7675.17562955173</v>
      </c>
      <c r="H41" s="365" t="n">
        <f aca="false">(F41-B41)/B41</f>
        <v>-0.0818396848234005</v>
      </c>
    </row>
    <row r="42" s="73" customFormat="true" ht="13.5" hidden="false" customHeight="false" outlineLevel="0" collapsed="false">
      <c r="A42" s="330" t="s">
        <v>119</v>
      </c>
      <c r="B42" s="364" t="n">
        <f aca="false">'4.CL'!B98</f>
        <v>0.0836119474599058</v>
      </c>
      <c r="C42" s="364" t="n">
        <f aca="false">'4.CL'!C98</f>
        <v>0.0822135848331716</v>
      </c>
      <c r="D42" s="364" t="n">
        <f aca="false">'4.CL'!D98</f>
        <v>0.0883690522393922</v>
      </c>
      <c r="E42" s="364" t="n">
        <f aca="false">'4.CL'!E98</f>
        <v>0.100312391567398</v>
      </c>
      <c r="F42" s="364" t="n">
        <f aca="false">'4.CL'!F98</f>
        <v>0</v>
      </c>
      <c r="G42" s="364" t="n">
        <f aca="false">'4.CL'!G98</f>
        <v>0</v>
      </c>
      <c r="H42" s="365" t="n">
        <f aca="false">(F42-B42)/B42</f>
        <v>-1</v>
      </c>
    </row>
    <row r="43" s="73" customFormat="true" ht="13.5" hidden="false" customHeight="false" outlineLevel="0" collapsed="false">
      <c r="A43" s="330" t="s">
        <v>596</v>
      </c>
      <c r="B43" s="364" t="n">
        <f aca="false">-'5.RENOVABLES'!B24+'5.RENOVABLES'!B25</f>
        <v>-9.982154</v>
      </c>
      <c r="C43" s="364" t="n">
        <f aca="false">-'5.RENOVABLES'!C24+'5.RENOVABLES'!C25</f>
        <v>-10.746372</v>
      </c>
      <c r="D43" s="364" t="n">
        <f aca="false">-'5.RENOVABLES'!D24+'5.RENOVABLES'!D25</f>
        <v>-9.713613</v>
      </c>
      <c r="E43" s="364" t="n">
        <f aca="false">-'5.RENOVABLES'!E24+'5.RENOVABLES'!E25</f>
        <v>-28.066896</v>
      </c>
      <c r="F43" s="364" t="n">
        <f aca="false">-'5.RENOVABLES'!F24+'5.RENOVABLES'!F25</f>
        <v>-66.262053</v>
      </c>
      <c r="G43" s="364" t="n">
        <f aca="false">-'5.RENOVABLES'!G24+'5.RENOVABLES'!G25</f>
        <v>-66.262053</v>
      </c>
      <c r="H43" s="365"/>
    </row>
    <row r="44" s="73" customFormat="true" ht="13.5" hidden="false" customHeight="false" outlineLevel="0" collapsed="false">
      <c r="A44" s="334" t="s">
        <v>590</v>
      </c>
      <c r="B44" s="366" t="n">
        <f aca="false">SUM(B37:B43)</f>
        <v>99665.9723259923</v>
      </c>
      <c r="C44" s="366" t="n">
        <f aca="false">SUM(C37:C43)</f>
        <v>110170.672530537</v>
      </c>
      <c r="D44" s="366" t="n">
        <f aca="false">SUM(D37:D43)</f>
        <v>107171.793098312</v>
      </c>
      <c r="E44" s="366" t="n">
        <f aca="false">SUM(E37:E43)</f>
        <v>104913.626127953</v>
      </c>
      <c r="F44" s="366" t="n">
        <f aca="false">SUM(F37:F43)</f>
        <v>104145.660516107</v>
      </c>
      <c r="G44" s="366" t="n">
        <f aca="false">SUM(G37:G43)</f>
        <v>102263.550660576</v>
      </c>
      <c r="H44" s="367" t="n">
        <f aca="false">(F44-B44)/B44</f>
        <v>0.0449470173778294</v>
      </c>
    </row>
    <row r="45" s="73" customFormat="true" ht="13.5" hidden="false" customHeight="false" outlineLevel="0" collapsed="false">
      <c r="A45" s="334" t="s">
        <v>272</v>
      </c>
      <c r="B45" s="366" t="n">
        <f aca="false">SUM(B37:B42)</f>
        <v>99675.9544799923</v>
      </c>
      <c r="C45" s="366" t="n">
        <f aca="false">SUM(C37:C42)</f>
        <v>110181.418902537</v>
      </c>
      <c r="D45" s="366" t="n">
        <f aca="false">SUM(D37:D42)</f>
        <v>107181.506711312</v>
      </c>
      <c r="E45" s="366" t="n">
        <f aca="false">SUM(E37:E42)</f>
        <v>104941.693023953</v>
      </c>
      <c r="F45" s="366" t="n">
        <f aca="false">SUM(F37:F42)</f>
        <v>104211.922569107</v>
      </c>
      <c r="G45" s="366" t="n">
        <f aca="false">SUM(G37:G42)</f>
        <v>102329.812713576</v>
      </c>
      <c r="H45" s="367" t="n">
        <f aca="false">(F45-B45)/B45</f>
        <v>0.0455071447550084</v>
      </c>
    </row>
    <row r="46" s="73" customFormat="true" ht="13.5" hidden="false" customHeight="false" outlineLevel="0" collapsed="false">
      <c r="A46" s="363"/>
      <c r="B46" s="363"/>
      <c r="C46" s="363"/>
      <c r="D46" s="363"/>
      <c r="E46" s="363"/>
      <c r="F46" s="363"/>
      <c r="G46" s="363"/>
      <c r="H46" s="363"/>
    </row>
    <row r="47" s="73" customFormat="true" ht="13.5" hidden="false" customHeight="false" outlineLevel="0" collapsed="false">
      <c r="A47" s="363"/>
      <c r="B47" s="363"/>
      <c r="C47" s="363"/>
      <c r="D47" s="363"/>
      <c r="E47" s="363"/>
      <c r="F47" s="363"/>
      <c r="G47" s="363"/>
      <c r="H47" s="363"/>
    </row>
    <row r="48" s="73" customFormat="true" ht="28.5" hidden="false" customHeight="true" outlineLevel="0" collapsed="false">
      <c r="A48" s="342" t="s">
        <v>597</v>
      </c>
      <c r="B48" s="342"/>
      <c r="C48" s="342"/>
      <c r="D48" s="342"/>
      <c r="E48" s="342"/>
      <c r="F48" s="342"/>
      <c r="G48" s="342"/>
      <c r="H48" s="342"/>
    </row>
    <row r="49" customFormat="false" ht="13.5" hidden="false" customHeight="false" outlineLevel="0" collapsed="false">
      <c r="J49" s="194" t="s">
        <v>636</v>
      </c>
    </row>
    <row r="50" customFormat="false" ht="13.5" hidden="false" customHeight="false" outlineLevel="0" collapsed="false">
      <c r="A50" s="194" t="s">
        <v>637</v>
      </c>
      <c r="B50" s="338"/>
      <c r="C50" s="338"/>
      <c r="D50" s="338"/>
      <c r="E50" s="338"/>
      <c r="F50" s="338"/>
      <c r="G50" s="338"/>
      <c r="H50" s="339"/>
      <c r="I50" s="341"/>
      <c r="P50" s="194" t="s">
        <v>638</v>
      </c>
      <c r="V50" s="194" t="s">
        <v>639</v>
      </c>
    </row>
    <row r="51" customFormat="false" ht="13.5" hidden="false" customHeight="false" outlineLevel="0" collapsed="false">
      <c r="A51" s="105"/>
      <c r="B51" s="338"/>
      <c r="C51" s="338"/>
      <c r="D51" s="338"/>
      <c r="E51" s="338"/>
      <c r="F51" s="338"/>
      <c r="G51" s="338"/>
      <c r="H51" s="339"/>
      <c r="I51" s="341"/>
    </row>
    <row r="52" customFormat="false" ht="13.5" hidden="false" customHeight="false" outlineLevel="0" collapsed="false">
      <c r="A52" s="328" t="s">
        <v>602</v>
      </c>
      <c r="B52" s="328" t="n">
        <f aca="false">B8</f>
        <v>2005</v>
      </c>
      <c r="C52" s="328" t="n">
        <f aca="false">C8</f>
        <v>2006</v>
      </c>
      <c r="D52" s="328" t="n">
        <f aca="false">D8</f>
        <v>2007</v>
      </c>
      <c r="E52" s="328" t="n">
        <f aca="false">E8</f>
        <v>2008</v>
      </c>
      <c r="F52" s="328" t="n">
        <f aca="false">F8</f>
        <v>2009</v>
      </c>
      <c r="G52" s="328" t="n">
        <f aca="false">G8</f>
        <v>2010</v>
      </c>
      <c r="H52" s="328" t="s">
        <v>582</v>
      </c>
      <c r="I52" s="341"/>
    </row>
    <row r="53" customFormat="false" ht="13.5" hidden="false" customHeight="false" outlineLevel="0" collapsed="false">
      <c r="A53" s="330" t="s">
        <v>49</v>
      </c>
      <c r="B53" s="369" t="n">
        <f aca="false">'1.EE'!B9+'2.GN'!B9+'3.GLP'!B9+'4.CL'!B9+'4.CL'!B19+'1.EE'!B12+'4.CL'!B30-B56</f>
        <v>53048.5724228357</v>
      </c>
      <c r="C53" s="369" t="n">
        <f aca="false">'1.EE'!C9+'2.GN'!C9+'3.GLP'!C9+'4.CL'!C9+'4.CL'!C19+'1.EE'!C12+'4.CL'!C30-C56</f>
        <v>58521.2334756521</v>
      </c>
      <c r="D53" s="369" t="n">
        <f aca="false">'1.EE'!D9+'2.GN'!D9+'3.GLP'!D9+'4.CL'!D9+'4.CL'!D19+'1.EE'!D12+'4.CL'!D30-D56</f>
        <v>60631.2329149267</v>
      </c>
      <c r="E53" s="369" t="n">
        <f aca="false">'1.EE'!E9+'2.GN'!E9+'3.GLP'!E9+'4.CL'!E9+'4.CL'!E19+'1.EE'!E12+'4.CL'!E30-E56</f>
        <v>55664.131999549</v>
      </c>
      <c r="F53" s="369" t="n">
        <f aca="false">'1.EE'!F9+'2.GN'!F9+'3.GLP'!F9+'4.CL'!F9+'4.CL'!F19+'1.EE'!F12+'4.CL'!F30-F56</f>
        <v>54258.8961833933</v>
      </c>
      <c r="G53" s="369" t="n">
        <f aca="false">'1.EE'!G9+'2.GN'!G9+'3.GLP'!G9+'4.CL'!G9+'4.CL'!G19+'1.EE'!G12+'4.CL'!G30-G56</f>
        <v>48642.070491704</v>
      </c>
      <c r="H53" s="365" t="n">
        <f aca="false">(F53-B53)/B53</f>
        <v>0.0228153879601216</v>
      </c>
      <c r="I53" s="341"/>
    </row>
    <row r="54" customFormat="false" ht="13.5" hidden="false" customHeight="false" outlineLevel="0" collapsed="false">
      <c r="A54" s="330" t="s">
        <v>42</v>
      </c>
      <c r="B54" s="369" t="n">
        <f aca="false">'1.EE'!B10+'2.GN'!B10+'3.GLP'!B10+'4.CL'!B20+'4.CL'!B10</f>
        <v>72157.5889450002</v>
      </c>
      <c r="C54" s="369" t="n">
        <f aca="false">'1.EE'!C10+'2.GN'!C10+'3.GLP'!C10+'4.CL'!C20+'4.CL'!C10</f>
        <v>77244.8108713911</v>
      </c>
      <c r="D54" s="369" t="n">
        <f aca="false">'1.EE'!D10+'2.GN'!D10+'3.GLP'!D10+'4.CL'!D20+'4.CL'!D10</f>
        <v>81155.7216523405</v>
      </c>
      <c r="E54" s="369" t="n">
        <f aca="false">'1.EE'!E10+'2.GN'!E10+'3.GLP'!E10+'4.CL'!E20+'4.CL'!E10</f>
        <v>77810.8814395767</v>
      </c>
      <c r="F54" s="369" t="n">
        <f aca="false">'1.EE'!F10+'2.GN'!F10+'3.GLP'!F10+'4.CL'!F20+'4.CL'!F10</f>
        <v>74107.3940507986</v>
      </c>
      <c r="G54" s="369" t="n">
        <f aca="false">'1.EE'!G10+'2.GN'!G10+'3.GLP'!G10+'4.CL'!G20+'4.CL'!G10</f>
        <v>73595.575928495</v>
      </c>
      <c r="H54" s="365" t="n">
        <f aca="false">(F54-B54)/B54</f>
        <v>0.0270214835931468</v>
      </c>
      <c r="I54" s="341"/>
    </row>
    <row r="55" customFormat="false" ht="13.5" hidden="false" customHeight="false" outlineLevel="0" collapsed="false">
      <c r="A55" s="330" t="s">
        <v>44</v>
      </c>
      <c r="B55" s="369" t="n">
        <f aca="false">'1.EE'!B11+'2.GN'!B11+'3.GLP'!B11+'4.CL'!B11+'4.CL'!B21</f>
        <v>87085.2108593324</v>
      </c>
      <c r="C55" s="369" t="n">
        <f aca="false">'1.EE'!C11+'2.GN'!C11+'3.GLP'!C11+'4.CL'!C11+'4.CL'!C21</f>
        <v>91373.5963198209</v>
      </c>
      <c r="D55" s="369" t="n">
        <f aca="false">'1.EE'!D11+'2.GN'!D11+'3.GLP'!D11+'4.CL'!D11+'4.CL'!D21</f>
        <v>95465.9694602215</v>
      </c>
      <c r="E55" s="369" t="n">
        <f aca="false">'1.EE'!E11+'2.GN'!E11+'3.GLP'!E11+'4.CL'!E11+'4.CL'!E21</f>
        <v>93525.8419992048</v>
      </c>
      <c r="F55" s="369" t="n">
        <f aca="false">'1.EE'!F11+'2.GN'!F11+'3.GLP'!F11+'4.CL'!F11+'4.CL'!F21</f>
        <v>89315.9404665966</v>
      </c>
      <c r="G55" s="369" t="n">
        <f aca="false">'1.EE'!G11+'2.GN'!G11+'3.GLP'!G11+'4.CL'!G11+'4.CL'!G21</f>
        <v>86964.2769444402</v>
      </c>
      <c r="H55" s="365" t="n">
        <f aca="false">(F55-B55)/B55</f>
        <v>0.0256154814951004</v>
      </c>
      <c r="I55" s="341"/>
    </row>
    <row r="56" customFormat="false" ht="13.5" hidden="false" customHeight="false" outlineLevel="0" collapsed="false">
      <c r="A56" s="330" t="s">
        <v>603</v>
      </c>
      <c r="B56" s="369" t="n">
        <f aca="false">'7.AIGUA'!B45</f>
        <v>5995.91889</v>
      </c>
      <c r="C56" s="369" t="n">
        <f aca="false">'7.AIGUA'!C45</f>
        <v>6675.81246</v>
      </c>
      <c r="D56" s="369" t="n">
        <f aca="false">'7.AIGUA'!D45</f>
        <v>6770.58768</v>
      </c>
      <c r="E56" s="369" t="n">
        <f aca="false">'7.AIGUA'!E45</f>
        <v>7106.3724</v>
      </c>
      <c r="F56" s="369" t="n">
        <f aca="false">'7.AIGUA'!F45</f>
        <v>7323.80208</v>
      </c>
      <c r="G56" s="369" t="n">
        <f aca="false">'7.AIGUA'!G45</f>
        <v>4559.93507</v>
      </c>
      <c r="H56" s="365" t="n">
        <f aca="false">(F56-B56)/B56</f>
        <v>0.221464501832179</v>
      </c>
      <c r="I56" s="341"/>
    </row>
    <row r="57" customFormat="false" ht="13.5" hidden="false" customHeight="false" outlineLevel="0" collapsed="false">
      <c r="A57" s="330" t="s">
        <v>596</v>
      </c>
      <c r="B57" s="369" t="n">
        <f aca="false">-'5.RENOVABLES'!B20</f>
        <v>-11.83</v>
      </c>
      <c r="C57" s="369" t="n">
        <f aca="false">-'5.RENOVABLES'!C20</f>
        <v>-11.83</v>
      </c>
      <c r="D57" s="369" t="n">
        <f aca="false">-'5.RENOVABLES'!D20</f>
        <v>-11.83</v>
      </c>
      <c r="E57" s="369" t="n">
        <f aca="false">-'5.RENOVABLES'!E20</f>
        <v>-33.93</v>
      </c>
      <c r="F57" s="369" t="n">
        <f aca="false">-'5.RENOVABLES'!F20</f>
        <v>-78.13</v>
      </c>
      <c r="G57" s="369" t="n">
        <f aca="false">-'5.RENOVABLES'!G20</f>
        <v>-78.13</v>
      </c>
      <c r="H57" s="365"/>
      <c r="I57" s="341"/>
    </row>
    <row r="58" customFormat="false" ht="13.5" hidden="false" customHeight="false" outlineLevel="0" collapsed="false">
      <c r="A58" s="334" t="s">
        <v>590</v>
      </c>
      <c r="B58" s="370" t="n">
        <f aca="false">SUM(B53:B57)</f>
        <v>218275.461117168</v>
      </c>
      <c r="C58" s="370" t="n">
        <f aca="false">SUM(C53:C57)</f>
        <v>233803.623126864</v>
      </c>
      <c r="D58" s="370" t="n">
        <f aca="false">SUM(D53:D57)</f>
        <v>244011.681707489</v>
      </c>
      <c r="E58" s="370" t="n">
        <f aca="false">SUM(E53:E57)</f>
        <v>234073.29783833</v>
      </c>
      <c r="F58" s="370" t="n">
        <f aca="false">SUM(F53:F57)</f>
        <v>224927.902780788</v>
      </c>
      <c r="G58" s="370" t="n">
        <f aca="false">SUM(G53:G57)</f>
        <v>213683.728434639</v>
      </c>
      <c r="H58" s="367" t="n">
        <f aca="false">(F58-B58)/B58</f>
        <v>0.0304772768756132</v>
      </c>
      <c r="I58" s="341"/>
    </row>
    <row r="59" customFormat="false" ht="13.5" hidden="false" customHeight="false" outlineLevel="0" collapsed="false">
      <c r="A59" s="334" t="s">
        <v>292</v>
      </c>
      <c r="B59" s="370" t="n">
        <f aca="false">SUM(B53:B56)</f>
        <v>218287.291117168</v>
      </c>
      <c r="C59" s="370" t="n">
        <f aca="false">SUM(C53:C56)</f>
        <v>233815.453126864</v>
      </c>
      <c r="D59" s="370" t="n">
        <f aca="false">SUM(D53:D56)</f>
        <v>244023.511707489</v>
      </c>
      <c r="E59" s="370" t="n">
        <f aca="false">SUM(E53:E56)</f>
        <v>234107.22783833</v>
      </c>
      <c r="F59" s="370" t="n">
        <f aca="false">SUM(F53:F56)</f>
        <v>225006.032780788</v>
      </c>
      <c r="G59" s="370" t="n">
        <f aca="false">SUM(G53:G56)</f>
        <v>213761.858434639</v>
      </c>
      <c r="H59" s="367" t="n">
        <f aca="false">(F59-B59)/B59</f>
        <v>0.0307793533431763</v>
      </c>
      <c r="I59" s="341"/>
    </row>
    <row r="60" customFormat="false" ht="13.5" hidden="false" customHeight="false" outlineLevel="0" collapsed="false">
      <c r="A60" s="98"/>
      <c r="B60" s="371"/>
      <c r="C60" s="351"/>
      <c r="D60" s="351"/>
      <c r="E60" s="351"/>
      <c r="F60" s="351"/>
      <c r="G60" s="351"/>
      <c r="H60" s="339"/>
      <c r="I60" s="341"/>
    </row>
    <row r="61" customFormat="false" ht="13.5" hidden="false" customHeight="false" outlineLevel="0" collapsed="false">
      <c r="A61" s="372" t="s">
        <v>640</v>
      </c>
      <c r="B61" s="373" t="n">
        <f aca="false">+B30</f>
        <v>218287.291117168</v>
      </c>
      <c r="C61" s="373" t="n">
        <f aca="false">+C30</f>
        <v>233815.453126864</v>
      </c>
      <c r="D61" s="373" t="n">
        <f aca="false">+D30</f>
        <v>244023.511707489</v>
      </c>
      <c r="E61" s="373" t="n">
        <f aca="false">+E30</f>
        <v>234107.227838331</v>
      </c>
      <c r="F61" s="373" t="n">
        <f aca="false">+F30</f>
        <v>225006.032780788</v>
      </c>
      <c r="G61" s="373" t="n">
        <f aca="false">+G30</f>
        <v>213761.858434639</v>
      </c>
      <c r="H61" s="339"/>
      <c r="I61" s="341"/>
    </row>
    <row r="62" customFormat="false" ht="13.5" hidden="false" customHeight="false" outlineLevel="0" collapsed="false">
      <c r="A62" s="374"/>
      <c r="B62" s="351"/>
      <c r="C62" s="351"/>
      <c r="D62" s="351"/>
      <c r="E62" s="351"/>
      <c r="F62" s="351"/>
      <c r="G62" s="351"/>
      <c r="H62" s="339"/>
      <c r="I62" s="341"/>
    </row>
    <row r="63" customFormat="false" ht="13.5" hidden="false" customHeight="false" outlineLevel="0" collapsed="false">
      <c r="A63" s="194" t="s">
        <v>641</v>
      </c>
      <c r="B63" s="338"/>
      <c r="C63" s="338"/>
      <c r="D63" s="338"/>
      <c r="E63" s="338"/>
      <c r="F63" s="338"/>
      <c r="G63" s="338"/>
      <c r="H63" s="339"/>
      <c r="I63" s="341"/>
    </row>
    <row r="64" customFormat="false" ht="13.5" hidden="false" customHeight="false" outlineLevel="0" collapsed="false">
      <c r="A64" s="105"/>
      <c r="B64" s="338"/>
      <c r="C64" s="338"/>
      <c r="D64" s="338"/>
      <c r="E64" s="338"/>
      <c r="F64" s="338"/>
      <c r="G64" s="338"/>
      <c r="H64" s="339"/>
      <c r="I64" s="341"/>
      <c r="J64" s="352" t="s">
        <v>642</v>
      </c>
      <c r="P64" s="352" t="s">
        <v>643</v>
      </c>
    </row>
    <row r="65" customFormat="false" ht="13.5" hidden="false" customHeight="false" outlineLevel="0" collapsed="false">
      <c r="A65" s="328" t="s">
        <v>602</v>
      </c>
      <c r="B65" s="328" t="n">
        <f aca="false">B52</f>
        <v>2005</v>
      </c>
      <c r="C65" s="328" t="n">
        <f aca="false">C52</f>
        <v>2006</v>
      </c>
      <c r="D65" s="328" t="n">
        <f aca="false">D52</f>
        <v>2007</v>
      </c>
      <c r="E65" s="328" t="n">
        <f aca="false">E52</f>
        <v>2008</v>
      </c>
      <c r="F65" s="328" t="n">
        <f aca="false">F52</f>
        <v>2009</v>
      </c>
      <c r="G65" s="328" t="n">
        <f aca="false">G52</f>
        <v>2010</v>
      </c>
      <c r="H65" s="328" t="s">
        <v>582</v>
      </c>
      <c r="I65" s="341"/>
      <c r="J65" s="194"/>
      <c r="V65" s="352" t="s">
        <v>644</v>
      </c>
    </row>
    <row r="66" customFormat="false" ht="13.5" hidden="false" customHeight="false" outlineLevel="0" collapsed="false">
      <c r="A66" s="330" t="s">
        <v>49</v>
      </c>
      <c r="B66" s="369" t="n">
        <f aca="false">'1.EE'!B35+'2.GN'!B21+'3.GLP'!B39+'4.CL'!B84+'4.CL'!B74+'1.EE'!B38+'4.CL'!B94-B70</f>
        <v>27448.431240471</v>
      </c>
      <c r="C66" s="369" t="n">
        <f aca="false">'1.EE'!C35+'2.GN'!C21+'3.GLP'!C39+'4.CL'!C84+'4.CL'!C74+'1.EE'!C38+'4.CL'!C94-C70</f>
        <v>30885.8345728018</v>
      </c>
      <c r="D66" s="369" t="n">
        <f aca="false">'1.EE'!D35+'2.GN'!D21+'3.GLP'!D39+'4.CL'!D84+'4.CL'!D74+'1.EE'!D38+'4.CL'!D94-D70</f>
        <v>28963.6674236554</v>
      </c>
      <c r="E66" s="369" t="n">
        <f aca="false">'1.EE'!E35+'2.GN'!E21+'3.GLP'!E39+'4.CL'!E84+'4.CL'!E74+'1.EE'!E38+'4.CL'!E94-E70</f>
        <v>27331.9312765058</v>
      </c>
      <c r="F66" s="369" t="n">
        <f aca="false">'1.EE'!F35+'2.GN'!F21+'3.GLP'!F39+'4.CL'!F84+'4.CL'!F74+'1.EE'!F38+'4.CL'!F94-F70</f>
        <v>28197.3349089287</v>
      </c>
      <c r="G66" s="369" t="n">
        <f aca="false">'1.EE'!G35+'2.GN'!G21+'3.GLP'!G39+'4.CL'!G84+'4.CL'!G74+'1.EE'!G38+'4.CL'!G94-G70</f>
        <v>26503.6441502563</v>
      </c>
      <c r="H66" s="365" t="n">
        <f aca="false">(F66-B66)/B66</f>
        <v>0.0272840244273567</v>
      </c>
    </row>
    <row r="67" customFormat="false" ht="13.5" hidden="false" customHeight="false" outlineLevel="0" collapsed="false">
      <c r="A67" s="330" t="s">
        <v>42</v>
      </c>
      <c r="B67" s="369" t="n">
        <f aca="false">'1.EE'!B36+'2.GN'!B22+'3.GLP'!B40+'4.CL'!B75+'4.CL'!B85</f>
        <v>44543.4785467151</v>
      </c>
      <c r="C67" s="369" t="n">
        <f aca="false">'1.EE'!C36+'2.GN'!C22+'3.GLP'!C40+'4.CL'!C75+'4.CL'!C85</f>
        <v>49471.8977830614</v>
      </c>
      <c r="D67" s="369" t="n">
        <f aca="false">'1.EE'!D36+'2.GN'!D22+'3.GLP'!D40+'4.CL'!D75+'4.CL'!D85</f>
        <v>47802.6338104749</v>
      </c>
      <c r="E67" s="369" t="n">
        <f aca="false">'1.EE'!E36+'2.GN'!E22+'3.GLP'!E40+'4.CL'!E75+'4.CL'!E85</f>
        <v>47363.936222367</v>
      </c>
      <c r="F67" s="369" t="n">
        <f aca="false">'1.EE'!F36+'2.GN'!F22+'3.GLP'!F40+'4.CL'!F75+'4.CL'!F85</f>
        <v>46531.6593420632</v>
      </c>
      <c r="G67" s="369" t="n">
        <f aca="false">'1.EE'!G36+'2.GN'!G22+'3.GLP'!G40+'4.CL'!G75+'4.CL'!G85</f>
        <v>49294.2576595082</v>
      </c>
      <c r="H67" s="365" t="n">
        <f aca="false">(F67-B67)/B67</f>
        <v>0.044634610053255</v>
      </c>
      <c r="J67" s="304"/>
    </row>
    <row r="68" customFormat="false" ht="13.5" hidden="false" customHeight="false" outlineLevel="0" collapsed="false">
      <c r="A68" s="330" t="s">
        <v>44</v>
      </c>
      <c r="B68" s="369" t="n">
        <f aca="false">'1.EE'!B37+'2.GN'!B23+'3.GLP'!B41+'4.CL'!B76+'4.CL'!B86</f>
        <v>22624.6883334242</v>
      </c>
      <c r="C68" s="369" t="n">
        <f aca="false">'1.EE'!C37+'2.GN'!C23+'3.GLP'!C41+'4.CL'!C76+'4.CL'!C86</f>
        <v>23759.3785080101</v>
      </c>
      <c r="D68" s="369" t="n">
        <f aca="false">'1.EE'!D37+'2.GN'!D23+'3.GLP'!D41+'4.CL'!D76+'4.CL'!D86</f>
        <v>24855.8759331337</v>
      </c>
      <c r="E68" s="369" t="n">
        <f aca="false">'1.EE'!E37+'2.GN'!E23+'3.GLP'!E41+'4.CL'!E76+'4.CL'!E86</f>
        <v>24367.4342758006</v>
      </c>
      <c r="F68" s="369" t="n">
        <f aca="false">'1.EE'!F37+'2.GN'!F23+'3.GLP'!F41+'4.CL'!F76+'4.CL'!F86</f>
        <v>23271.611774067</v>
      </c>
      <c r="G68" s="369" t="n">
        <f aca="false">'1.EE'!G37+'2.GN'!G23+'3.GLP'!G41+'4.CL'!G76+'4.CL'!G86</f>
        <v>22664.6299709449</v>
      </c>
      <c r="H68" s="365" t="n">
        <f aca="false">(F68-B68)/B68</f>
        <v>0.0285936951311328</v>
      </c>
      <c r="J68" s="304"/>
    </row>
    <row r="69" customFormat="false" ht="13.5" hidden="false" customHeight="false" outlineLevel="0" collapsed="false">
      <c r="A69" s="330" t="s">
        <v>73</v>
      </c>
      <c r="B69" s="369" t="n">
        <f aca="false">'6.RESIDUS'!B48</f>
        <v>8729.33717074606</v>
      </c>
      <c r="C69" s="369" t="n">
        <f aca="false">'6.RESIDUS'!C48</f>
        <v>9238.7148318758</v>
      </c>
      <c r="D69" s="369" t="n">
        <f aca="false">'6.RESIDUS'!D48</f>
        <v>10218.822147659</v>
      </c>
      <c r="E69" s="369" t="n">
        <f aca="false">'6.RESIDUS'!E48</f>
        <v>8981.01779429749</v>
      </c>
      <c r="F69" s="369" t="n">
        <f aca="false">'6.RESIDUS'!F48</f>
        <v>8007.43090743706</v>
      </c>
      <c r="G69" s="369" t="n">
        <f aca="false">'6.RESIDUS'!G48</f>
        <v>8033.92078866066</v>
      </c>
      <c r="H69" s="365" t="n">
        <f aca="false">(F69-B69)/B69</f>
        <v>-0.0826988635206194</v>
      </c>
      <c r="J69" s="304"/>
    </row>
    <row r="70" customFormat="false" ht="13.5" hidden="false" customHeight="false" outlineLevel="0" collapsed="false">
      <c r="A70" s="330" t="s">
        <v>603</v>
      </c>
      <c r="B70" s="369" t="n">
        <f aca="false">'7.AIGUA'!B54</f>
        <v>5059.356359382</v>
      </c>
      <c r="C70" s="369" t="n">
        <f aca="false">'7.AIGUA'!C54</f>
        <v>6064.308038664</v>
      </c>
      <c r="D70" s="369" t="n">
        <f aca="false">'7.AIGUA'!D54</f>
        <v>5559.329544048</v>
      </c>
      <c r="E70" s="369" t="n">
        <f aca="false">'7.AIGUA'!E54</f>
        <v>5878.39124928</v>
      </c>
      <c r="F70" s="369" t="n">
        <f aca="false">'7.AIGUA'!F54</f>
        <v>6211.316544048</v>
      </c>
      <c r="G70" s="369" t="n">
        <f aca="false">'7.AIGUA'!G54</f>
        <v>3867.280932867</v>
      </c>
      <c r="H70" s="365" t="n">
        <f aca="false">(F70-B70)/B70</f>
        <v>0.227689077985151</v>
      </c>
      <c r="J70" s="311"/>
    </row>
    <row r="71" customFormat="false" ht="13.5" hidden="false" customHeight="false" outlineLevel="0" collapsed="false">
      <c r="A71" s="330" t="s">
        <v>596</v>
      </c>
      <c r="B71" s="369" t="n">
        <f aca="false">-'5.RENOVABLES'!B24+'5.RENOVABLES'!B25</f>
        <v>-9.982154</v>
      </c>
      <c r="C71" s="369" t="n">
        <f aca="false">-'5.RENOVABLES'!C24+'5.RENOVABLES'!C25</f>
        <v>-10.746372</v>
      </c>
      <c r="D71" s="369" t="n">
        <f aca="false">-'5.RENOVABLES'!D24+'5.RENOVABLES'!D25</f>
        <v>-9.713613</v>
      </c>
      <c r="E71" s="369" t="n">
        <f aca="false">-'5.RENOVABLES'!E24+'5.RENOVABLES'!E25</f>
        <v>-28.066896</v>
      </c>
      <c r="F71" s="369" t="n">
        <f aca="false">-'5.RENOVABLES'!F24+'5.RENOVABLES'!F25</f>
        <v>-66.262053</v>
      </c>
      <c r="G71" s="369" t="n">
        <f aca="false">-'5.RENOVABLES'!G24+'5.RENOVABLES'!G25</f>
        <v>-66.262053</v>
      </c>
      <c r="H71" s="365"/>
      <c r="J71" s="311"/>
    </row>
    <row r="72" s="73" customFormat="true" ht="13.5" hidden="false" customHeight="false" outlineLevel="0" collapsed="false">
      <c r="A72" s="334" t="s">
        <v>590</v>
      </c>
      <c r="B72" s="370" t="n">
        <f aca="false">SUM(B66:B71)</f>
        <v>108395.309496738</v>
      </c>
      <c r="C72" s="370" t="n">
        <f aca="false">SUM(C66:C71)</f>
        <v>119409.387362413</v>
      </c>
      <c r="D72" s="370" t="n">
        <f aca="false">SUM(D66:D71)</f>
        <v>117390.615245971</v>
      </c>
      <c r="E72" s="370" t="n">
        <f aca="false">SUM(E66:E71)</f>
        <v>113894.643922251</v>
      </c>
      <c r="F72" s="370" t="n">
        <f aca="false">SUM(F66:F71)</f>
        <v>112153.091423544</v>
      </c>
      <c r="G72" s="370" t="n">
        <f aca="false">SUM(G66:G71)</f>
        <v>110297.471449237</v>
      </c>
      <c r="H72" s="367" t="n">
        <f aca="false">(F72-B72)/B72</f>
        <v>0.0346673850026571</v>
      </c>
    </row>
    <row r="73" s="73" customFormat="true" ht="13.5" hidden="false" customHeight="false" outlineLevel="0" collapsed="false">
      <c r="A73" s="334" t="s">
        <v>292</v>
      </c>
      <c r="B73" s="370" t="n">
        <f aca="false">SUM(B66:B70)</f>
        <v>108405.291650738</v>
      </c>
      <c r="C73" s="370" t="n">
        <f aca="false">SUM(C66:C70)</f>
        <v>119420.133734413</v>
      </c>
      <c r="D73" s="370" t="n">
        <f aca="false">SUM(D66:D70)</f>
        <v>117400.328858971</v>
      </c>
      <c r="E73" s="370" t="n">
        <f aca="false">SUM(E66:E70)</f>
        <v>113922.710818251</v>
      </c>
      <c r="F73" s="370" t="n">
        <f aca="false">SUM(F66:F70)</f>
        <v>112219.353476544</v>
      </c>
      <c r="G73" s="370" t="n">
        <f aca="false">SUM(G66:G70)</f>
        <v>110363.733502237</v>
      </c>
      <c r="H73" s="367" t="n">
        <f aca="false">(F73-B73)/B73</f>
        <v>0.035183354684325</v>
      </c>
    </row>
    <row r="74" s="73" customFormat="true" ht="13.5" hidden="false" customHeight="false" outlineLevel="0" collapsed="false">
      <c r="A74" s="98" t="s">
        <v>609</v>
      </c>
      <c r="B74" s="375" t="n">
        <f aca="false">+B45+B69</f>
        <v>108405.291650738</v>
      </c>
      <c r="C74" s="375" t="n">
        <f aca="false">+C45+C69</f>
        <v>119420.133734413</v>
      </c>
      <c r="D74" s="375" t="n">
        <f aca="false">+D45+D69</f>
        <v>117400.328858971</v>
      </c>
      <c r="E74" s="375" t="n">
        <f aca="false">+E45+E69</f>
        <v>113922.710818251</v>
      </c>
      <c r="F74" s="375" t="n">
        <f aca="false">+F45+F69</f>
        <v>112219.353476544</v>
      </c>
      <c r="G74" s="375" t="n">
        <f aca="false">+G45+G69</f>
        <v>110363.733502237</v>
      </c>
      <c r="H74" s="339"/>
    </row>
    <row r="75" s="73" customFormat="true" ht="13.5" hidden="false" customHeight="false" outlineLevel="0" collapsed="false">
      <c r="A75" s="98"/>
      <c r="B75" s="351"/>
      <c r="C75" s="351"/>
      <c r="D75" s="351"/>
      <c r="E75" s="351"/>
      <c r="F75" s="351"/>
      <c r="G75" s="351"/>
      <c r="H75" s="339"/>
    </row>
    <row r="76" s="73" customFormat="true" ht="13.5" hidden="false" customHeight="false" outlineLevel="0" collapsed="false">
      <c r="A76" s="374" t="s">
        <v>645</v>
      </c>
      <c r="B76" s="351"/>
      <c r="C76" s="351"/>
      <c r="D76" s="351"/>
      <c r="E76" s="351"/>
      <c r="F76" s="351"/>
      <c r="G76" s="351"/>
      <c r="H76" s="339"/>
    </row>
    <row r="77" s="73" customFormat="true" ht="13.5" hidden="false" customHeight="false" outlineLevel="0" collapsed="false">
      <c r="A77" s="98"/>
      <c r="B77" s="351"/>
      <c r="C77" s="351"/>
      <c r="D77" s="351"/>
      <c r="E77" s="351"/>
      <c r="F77" s="351"/>
      <c r="G77" s="351"/>
      <c r="H77" s="339"/>
    </row>
    <row r="78" s="73" customFormat="true" ht="13.5" hidden="false" customHeight="false" outlineLevel="0" collapsed="false">
      <c r="A78" s="312"/>
      <c r="B78" s="328" t="n">
        <f aca="false">'0.DADES'!D37</f>
        <v>2005</v>
      </c>
      <c r="C78" s="328" t="n">
        <f aca="false">'0.DADES'!E37</f>
        <v>2006</v>
      </c>
      <c r="D78" s="328" t="n">
        <f aca="false">'0.DADES'!F37</f>
        <v>2007</v>
      </c>
      <c r="E78" s="328" t="n">
        <f aca="false">'0.DADES'!G37</f>
        <v>2008</v>
      </c>
      <c r="F78" s="328" t="n">
        <f aca="false">'0.DADES'!H37</f>
        <v>2009</v>
      </c>
      <c r="G78" s="328" t="n">
        <f aca="false">'0.DADES'!I37</f>
        <v>2010</v>
      </c>
      <c r="H78" s="328" t="s">
        <v>582</v>
      </c>
      <c r="J78" s="376" t="s">
        <v>646</v>
      </c>
    </row>
    <row r="79" s="73" customFormat="true" ht="39.75" hidden="false" customHeight="true" outlineLevel="0" collapsed="false">
      <c r="A79" s="330" t="s">
        <v>647</v>
      </c>
      <c r="B79" s="331" t="n">
        <f aca="false">'0.DADES'!D13</f>
        <v>11037</v>
      </c>
      <c r="C79" s="331" t="n">
        <f aca="false">'0.DADES'!E13</f>
        <v>11594</v>
      </c>
      <c r="D79" s="331" t="n">
        <f aca="false">'0.DADES'!F13</f>
        <v>12091</v>
      </c>
      <c r="E79" s="331" t="n">
        <f aca="false">'0.DADES'!G13</f>
        <v>12406</v>
      </c>
      <c r="F79" s="331" t="n">
        <f aca="false">'0.DADES'!H13</f>
        <v>12789</v>
      </c>
      <c r="G79" s="331" t="n">
        <f aca="false">'0.DADES'!I13</f>
        <v>12731</v>
      </c>
      <c r="H79" s="332" t="n">
        <f aca="false">(F79-B79)/B79</f>
        <v>0.158738787714053</v>
      </c>
    </row>
    <row r="80" s="73" customFormat="true" ht="39.75" hidden="false" customHeight="true" outlineLevel="0" collapsed="false">
      <c r="A80" s="330" t="s">
        <v>648</v>
      </c>
      <c r="B80" s="345" t="n">
        <f aca="false">B73</f>
        <v>108405.291650738</v>
      </c>
      <c r="C80" s="345" t="n">
        <f aca="false">C73</f>
        <v>119420.133734413</v>
      </c>
      <c r="D80" s="345" t="n">
        <f aca="false">D73</f>
        <v>117400.328858971</v>
      </c>
      <c r="E80" s="345" t="n">
        <f aca="false">E73</f>
        <v>113922.710818251</v>
      </c>
      <c r="F80" s="345" t="n">
        <f aca="false">F73</f>
        <v>112219.353476544</v>
      </c>
      <c r="G80" s="345" t="n">
        <f aca="false">G73</f>
        <v>110363.733502237</v>
      </c>
      <c r="H80" s="332" t="n">
        <f aca="false">(F80-B80)/B80</f>
        <v>0.035183354684325</v>
      </c>
    </row>
    <row r="81" s="73" customFormat="true" ht="39.75" hidden="false" customHeight="true" outlineLevel="0" collapsed="false">
      <c r="A81" s="330" t="s">
        <v>649</v>
      </c>
      <c r="B81" s="335" t="n">
        <f aca="false">B80/B79</f>
        <v>9.82198891462701</v>
      </c>
      <c r="C81" s="343" t="n">
        <f aca="false">C80/C79</f>
        <v>10.3001667875119</v>
      </c>
      <c r="D81" s="343" t="n">
        <f aca="false">D80/D79</f>
        <v>9.70972862947408</v>
      </c>
      <c r="E81" s="343" t="n">
        <f aca="false">E80/E79</f>
        <v>9.18287206337666</v>
      </c>
      <c r="F81" s="343" t="n">
        <f aca="false">F80/F79</f>
        <v>8.77467772902838</v>
      </c>
      <c r="G81" s="343" t="n">
        <f aca="false">G80/G79</f>
        <v>8.66889745520674</v>
      </c>
      <c r="H81" s="336" t="n">
        <f aca="false">(F81-B81)/B81</f>
        <v>-0.106629237184229</v>
      </c>
    </row>
    <row r="82" s="73" customFormat="true" ht="13.5" hidden="false" customHeight="false" outlineLevel="0" collapsed="false">
      <c r="A82" s="98"/>
      <c r="B82" s="377"/>
      <c r="C82" s="377"/>
      <c r="D82" s="377"/>
      <c r="E82" s="377"/>
      <c r="F82" s="377"/>
      <c r="G82" s="377"/>
      <c r="H82" s="377"/>
    </row>
    <row r="83" s="73" customFormat="true" ht="13.5" hidden="false" customHeight="false" outlineLevel="0" collapsed="false">
      <c r="A83" s="98"/>
      <c r="B83" s="377"/>
      <c r="C83" s="377"/>
      <c r="D83" s="377"/>
      <c r="E83" s="377"/>
      <c r="F83" s="377"/>
      <c r="G83" s="377"/>
      <c r="H83" s="377"/>
    </row>
    <row r="84" s="73" customFormat="true" ht="13.5" hidden="false" customHeight="false" outlineLevel="0" collapsed="false">
      <c r="A84" s="374" t="s">
        <v>650</v>
      </c>
      <c r="B84" s="377"/>
      <c r="C84" s="377"/>
      <c r="D84" s="377"/>
      <c r="E84" s="377"/>
      <c r="F84" s="377"/>
      <c r="G84" s="377"/>
      <c r="H84" s="377"/>
    </row>
    <row r="85" s="73" customFormat="true" ht="13.5" hidden="false" customHeight="false" outlineLevel="0" collapsed="false">
      <c r="A85" s="374"/>
      <c r="B85" s="377"/>
      <c r="C85" s="377"/>
      <c r="D85" s="377"/>
      <c r="E85" s="377"/>
      <c r="F85" s="377"/>
      <c r="G85" s="377"/>
      <c r="H85" s="377"/>
    </row>
    <row r="86" s="73" customFormat="true" ht="13.5" hidden="false" customHeight="false" outlineLevel="0" collapsed="false">
      <c r="A86" s="98"/>
      <c r="B86" s="363"/>
      <c r="C86" s="328" t="n">
        <f aca="false">'0.DADES'!D37</f>
        <v>2005</v>
      </c>
      <c r="D86" s="328" t="n">
        <f aca="false">'0.DADES'!E37</f>
        <v>2006</v>
      </c>
      <c r="E86" s="328" t="n">
        <f aca="false">'0.DADES'!F37</f>
        <v>2007</v>
      </c>
      <c r="F86" s="328" t="n">
        <f aca="false">'0.DADES'!G37</f>
        <v>2008</v>
      </c>
      <c r="G86" s="328" t="n">
        <f aca="false">'0.DADES'!H37</f>
        <v>2009</v>
      </c>
      <c r="H86" s="328" t="n">
        <f aca="false">'0.DADES'!I37</f>
        <v>2010</v>
      </c>
      <c r="I86" s="328" t="s">
        <v>582</v>
      </c>
    </row>
    <row r="87" s="73" customFormat="true" ht="13.5" hidden="false" customHeight="true" outlineLevel="0" collapsed="false">
      <c r="A87" s="330" t="s">
        <v>89</v>
      </c>
      <c r="B87" s="378" t="s">
        <v>651</v>
      </c>
      <c r="C87" s="379" t="n">
        <f aca="false">+'0.DADES'!D35</f>
        <v>1596</v>
      </c>
      <c r="D87" s="379" t="n">
        <f aca="false">+'0.DADES'!E35</f>
        <v>1604</v>
      </c>
      <c r="E87" s="379" t="n">
        <f aca="false">+'0.DADES'!F35</f>
        <v>1603</v>
      </c>
      <c r="F87" s="379" t="n">
        <f aca="false">+'0.DADES'!G35</f>
        <v>1587</v>
      </c>
      <c r="G87" s="379" t="n">
        <f aca="false">+'0.DADES'!H35</f>
        <v>1592</v>
      </c>
      <c r="H87" s="379" t="n">
        <f aca="false">+'0.DADES'!I35</f>
        <v>1614</v>
      </c>
      <c r="I87" s="380" t="n">
        <f aca="false">(G87-C87)/C87</f>
        <v>-0.0025062656641604</v>
      </c>
    </row>
    <row r="88" s="73" customFormat="true" ht="13.5" hidden="false" customHeight="true" outlineLevel="0" collapsed="false">
      <c r="A88" s="330"/>
      <c r="B88" s="378" t="s">
        <v>652</v>
      </c>
      <c r="C88" s="379" t="n">
        <f aca="false">+'0.DADES'!D33</f>
        <v>286408</v>
      </c>
      <c r="D88" s="379" t="n">
        <f aca="false">+'0.DADES'!E33</f>
        <v>286231</v>
      </c>
      <c r="E88" s="379" t="n">
        <f aca="false">+'0.DADES'!F33</f>
        <v>287438</v>
      </c>
      <c r="F88" s="379" t="n">
        <f aca="false">+'0.DADES'!G33</f>
        <v>285370</v>
      </c>
      <c r="G88" s="379" t="n">
        <f aca="false">+'0.DADES'!H33</f>
        <v>285065</v>
      </c>
      <c r="H88" s="379" t="n">
        <f aca="false">+'0.DADES'!I33</f>
        <v>286618</v>
      </c>
      <c r="I88" s="380" t="n">
        <f aca="false">(G88-C88)/C88</f>
        <v>-0.00468911482919472</v>
      </c>
    </row>
    <row r="89" s="73" customFormat="true" ht="13.5" hidden="false" customHeight="true" outlineLevel="0" collapsed="false">
      <c r="A89" s="330" t="s">
        <v>85</v>
      </c>
      <c r="B89" s="378" t="s">
        <v>651</v>
      </c>
      <c r="C89" s="379" t="n">
        <f aca="false">+'0.DADES'!D34</f>
        <v>19</v>
      </c>
      <c r="D89" s="379" t="n">
        <f aca="false">+'0.DADES'!E34</f>
        <v>19</v>
      </c>
      <c r="E89" s="379" t="n">
        <f aca="false">+'0.DADES'!F34</f>
        <v>19</v>
      </c>
      <c r="F89" s="379" t="n">
        <f aca="false">+'0.DADES'!G34</f>
        <v>19</v>
      </c>
      <c r="G89" s="379" t="n">
        <f aca="false">+'0.DADES'!H34</f>
        <v>19</v>
      </c>
      <c r="H89" s="379" t="n">
        <f aca="false">+'0.DADES'!I34</f>
        <v>20</v>
      </c>
      <c r="I89" s="380" t="n">
        <f aca="false">(G89-C89)/C89</f>
        <v>0</v>
      </c>
    </row>
    <row r="90" s="73" customFormat="true" ht="13.5" hidden="false" customHeight="true" outlineLevel="0" collapsed="false">
      <c r="A90" s="330"/>
      <c r="B90" s="378" t="s">
        <v>652</v>
      </c>
      <c r="C90" s="379" t="n">
        <f aca="false">+'0.DADES'!D32</f>
        <v>3606</v>
      </c>
      <c r="D90" s="379" t="n">
        <f aca="false">+'0.DADES'!E32</f>
        <v>3606</v>
      </c>
      <c r="E90" s="379" t="n">
        <f aca="false">+'0.DADES'!F32</f>
        <v>3606</v>
      </c>
      <c r="F90" s="379" t="n">
        <f aca="false">+'0.DADES'!G32</f>
        <v>3582</v>
      </c>
      <c r="G90" s="379" t="n">
        <f aca="false">+'0.DADES'!H32</f>
        <v>3582</v>
      </c>
      <c r="H90" s="379" t="n">
        <f aca="false">+'0.DADES'!I32</f>
        <v>3616</v>
      </c>
      <c r="I90" s="380" t="n">
        <f aca="false">(G90-C90)/C90</f>
        <v>-0.00665557404326123</v>
      </c>
    </row>
    <row r="91" s="73" customFormat="true" ht="13.5" hidden="false" customHeight="false" outlineLevel="0" collapsed="false">
      <c r="A91" s="98"/>
      <c r="B91" s="377"/>
      <c r="C91" s="377"/>
      <c r="D91" s="377"/>
      <c r="E91" s="377"/>
      <c r="F91" s="377"/>
      <c r="G91" s="377"/>
      <c r="H91" s="377"/>
    </row>
    <row r="92" s="73" customFormat="true" ht="13.5" hidden="false" customHeight="false" outlineLevel="0" collapsed="false">
      <c r="A92" s="363"/>
      <c r="B92" s="363"/>
      <c r="C92" s="363"/>
      <c r="D92" s="363"/>
      <c r="E92" s="363"/>
      <c r="F92" s="363"/>
      <c r="G92" s="363"/>
      <c r="H92" s="363"/>
    </row>
    <row r="93" s="73" customFormat="true" ht="13.5" hidden="false" customHeight="false" outlineLevel="0" collapsed="false">
      <c r="A93" s="194" t="s">
        <v>653</v>
      </c>
      <c r="B93" s="363"/>
      <c r="C93" s="363"/>
      <c r="D93" s="363"/>
      <c r="E93" s="363"/>
      <c r="F93" s="363"/>
      <c r="G93" s="363"/>
      <c r="H93" s="363"/>
      <c r="J93" s="194" t="s">
        <v>654</v>
      </c>
      <c r="P93" s="194" t="s">
        <v>655</v>
      </c>
    </row>
    <row r="94" s="73" customFormat="true" ht="13.5" hidden="false" customHeight="false" outlineLevel="0" collapsed="false">
      <c r="A94" s="363"/>
      <c r="B94" s="363"/>
      <c r="C94" s="363"/>
      <c r="D94" s="363"/>
      <c r="E94" s="363"/>
      <c r="F94" s="363"/>
      <c r="G94" s="363"/>
      <c r="H94" s="363"/>
    </row>
    <row r="95" s="73" customFormat="true" ht="13.5" hidden="false" customHeight="false" outlineLevel="0" collapsed="false">
      <c r="A95" s="360" t="s">
        <v>656</v>
      </c>
      <c r="B95" s="328" t="n">
        <f aca="false">'0.DADES'!D37</f>
        <v>2005</v>
      </c>
      <c r="C95" s="328" t="n">
        <f aca="false">'0.DADES'!E37</f>
        <v>2006</v>
      </c>
      <c r="D95" s="328" t="n">
        <f aca="false">'0.DADES'!F37</f>
        <v>2007</v>
      </c>
      <c r="E95" s="328" t="n">
        <f aca="false">'0.DADES'!G37</f>
        <v>2008</v>
      </c>
      <c r="F95" s="328" t="n">
        <f aca="false">'0.DADES'!H37</f>
        <v>2009</v>
      </c>
      <c r="G95" s="328" t="n">
        <f aca="false">'0.DADES'!I37</f>
        <v>2010</v>
      </c>
      <c r="H95" s="328" t="s">
        <v>582</v>
      </c>
    </row>
    <row r="96" s="73" customFormat="true" ht="13.5" hidden="false" customHeight="false" outlineLevel="0" collapsed="false">
      <c r="A96" s="330" t="s">
        <v>588</v>
      </c>
      <c r="B96" s="381" t="n">
        <f aca="false">'1.EE'!B9+'1.EE'!B12-B56</f>
        <v>23031.3086119298</v>
      </c>
      <c r="C96" s="381" t="n">
        <f aca="false">'1.EE'!C9+'1.EE'!C12-C56</f>
        <v>23792.7372914477</v>
      </c>
      <c r="D96" s="381" t="n">
        <f aca="false">'1.EE'!D9+'1.EE'!D12-D56</f>
        <v>23055.6297320891</v>
      </c>
      <c r="E96" s="381" t="n">
        <f aca="false">'1.EE'!E9+'1.EE'!E12-E56</f>
        <v>22259.1997824255</v>
      </c>
      <c r="F96" s="381" t="n">
        <f aca="false">'1.EE'!F9+'1.EE'!F12-F56</f>
        <v>23593.5460815052</v>
      </c>
      <c r="G96" s="381" t="n">
        <f aca="false">'1.EE'!G9+'1.EE'!G12-G56</f>
        <v>23259.6994131326</v>
      </c>
      <c r="H96" s="332" t="n">
        <f aca="false">(F96-B96)/B96</f>
        <v>0.0244118768520232</v>
      </c>
    </row>
    <row r="97" s="73" customFormat="true" ht="13.5" hidden="true" customHeight="false" outlineLevel="0" collapsed="false">
      <c r="A97" s="330" t="s">
        <v>51</v>
      </c>
      <c r="B97" s="381" t="n">
        <f aca="false">'2.GN'!B9</f>
        <v>0</v>
      </c>
      <c r="C97" s="381" t="n">
        <f aca="false">'2.GN'!C9</f>
        <v>0</v>
      </c>
      <c r="D97" s="381" t="n">
        <f aca="false">'2.GN'!D9</f>
        <v>0</v>
      </c>
      <c r="E97" s="381" t="n">
        <f aca="false">'2.GN'!E9</f>
        <v>0</v>
      </c>
      <c r="F97" s="381" t="n">
        <f aca="false">'2.GN'!F9</f>
        <v>0</v>
      </c>
      <c r="G97" s="381" t="n">
        <f aca="false">'2.GN'!G9</f>
        <v>0</v>
      </c>
      <c r="H97" s="332" t="n">
        <v>0</v>
      </c>
    </row>
    <row r="98" s="73" customFormat="true" ht="13.5" hidden="false" customHeight="false" outlineLevel="0" collapsed="false">
      <c r="A98" s="330" t="s">
        <v>53</v>
      </c>
      <c r="B98" s="381" t="n">
        <f aca="false">'3.GLP'!B9</f>
        <v>3224.71862712682</v>
      </c>
      <c r="C98" s="381" t="n">
        <f aca="false">'3.GLP'!C9</f>
        <v>3226.7127339741</v>
      </c>
      <c r="D98" s="381" t="n">
        <f aca="false">'3.GLP'!D9</f>
        <v>3338.49626702106</v>
      </c>
      <c r="E98" s="381" t="n">
        <f aca="false">'3.GLP'!E9</f>
        <v>3234.91913965631</v>
      </c>
      <c r="F98" s="381" t="n">
        <f aca="false">'3.GLP'!F9</f>
        <v>3072.77941342631</v>
      </c>
      <c r="G98" s="381" t="n">
        <f aca="false">'3.GLP'!G9</f>
        <v>3149.63391048378</v>
      </c>
      <c r="H98" s="332" t="n">
        <f aca="false">(F98-B98)/B98</f>
        <v>-0.047117045320598</v>
      </c>
    </row>
    <row r="99" s="73" customFormat="true" ht="13.5" hidden="false" customHeight="false" outlineLevel="0" collapsed="false">
      <c r="A99" s="330" t="s">
        <v>117</v>
      </c>
      <c r="B99" s="381" t="n">
        <f aca="false">'4.CL'!B19</f>
        <v>26792.2454993796</v>
      </c>
      <c r="C99" s="381" t="n">
        <f aca="false">'4.CL'!C19</f>
        <v>31501.4887778833</v>
      </c>
      <c r="D99" s="381" t="n">
        <f aca="false">'4.CL'!D19</f>
        <v>34236.7901808623</v>
      </c>
      <c r="E99" s="381" t="n">
        <f aca="false">'4.CL'!E19</f>
        <v>30169.6535348451</v>
      </c>
      <c r="F99" s="381" t="n">
        <f aca="false">'4.CL'!F19</f>
        <v>27592.5706884618</v>
      </c>
      <c r="G99" s="381" t="n">
        <f aca="false">'4.CL'!G19</f>
        <v>22232.7371680877</v>
      </c>
      <c r="H99" s="332" t="n">
        <f aca="false">(F99-B99)/B99</f>
        <v>0.0298715234264624</v>
      </c>
    </row>
    <row r="100" s="73" customFormat="true" ht="13.5" hidden="false" customHeight="false" outlineLevel="0" collapsed="false">
      <c r="A100" s="330" t="s">
        <v>119</v>
      </c>
      <c r="B100" s="381" t="n">
        <f aca="false">'4.CL'!B30</f>
        <v>0.29968439949787</v>
      </c>
      <c r="C100" s="381" t="n">
        <f aca="false">'4.CL'!C30</f>
        <v>0.2946723470723</v>
      </c>
      <c r="D100" s="381" t="n">
        <f aca="false">'4.CL'!D30</f>
        <v>0.316734954263055</v>
      </c>
      <c r="E100" s="381" t="n">
        <f aca="false">'4.CL'!E30</f>
        <v>0.359542622105368</v>
      </c>
      <c r="F100" s="381" t="n">
        <f aca="false">'4.CL'!F30</f>
        <v>0</v>
      </c>
      <c r="G100" s="381" t="n">
        <f aca="false">'4.CL'!G30</f>
        <v>0</v>
      </c>
      <c r="H100" s="332" t="n">
        <f aca="false">(F100-B100)/B100</f>
        <v>-1</v>
      </c>
    </row>
    <row r="101" s="73" customFormat="true" ht="13.5" hidden="false" customHeight="false" outlineLevel="0" collapsed="false">
      <c r="A101" s="334" t="s">
        <v>272</v>
      </c>
      <c r="B101" s="347" t="n">
        <f aca="false">SUM(B96:B100)</f>
        <v>53048.5724228357</v>
      </c>
      <c r="C101" s="347" t="n">
        <f aca="false">SUM(C96:C100)</f>
        <v>58521.2334756521</v>
      </c>
      <c r="D101" s="347" t="n">
        <f aca="false">SUM(D96:D100)</f>
        <v>60631.2329149267</v>
      </c>
      <c r="E101" s="347" t="n">
        <f aca="false">SUM(E96:E100)</f>
        <v>55664.131999549</v>
      </c>
      <c r="F101" s="347" t="n">
        <f aca="false">SUM(F96:F100)</f>
        <v>54258.8961833933</v>
      </c>
      <c r="G101" s="348" t="n">
        <f aca="false">SUM(G96:G100)</f>
        <v>48642.070491704</v>
      </c>
      <c r="H101" s="336" t="n">
        <f aca="false">(F101-B101)/B101</f>
        <v>0.0228153879601216</v>
      </c>
    </row>
    <row r="102" s="73" customFormat="true" ht="13.5" hidden="false" customHeight="false" outlineLevel="0" collapsed="false">
      <c r="A102" s="363"/>
      <c r="B102" s="363"/>
      <c r="C102" s="363"/>
      <c r="D102" s="363"/>
      <c r="E102" s="363"/>
      <c r="F102" s="363"/>
      <c r="G102" s="363"/>
      <c r="H102" s="363"/>
    </row>
    <row r="103" s="73" customFormat="true" ht="13.5" hidden="false" customHeight="false" outlineLevel="0" collapsed="false">
      <c r="A103" s="73" t="s">
        <v>657</v>
      </c>
      <c r="B103" s="363"/>
      <c r="C103" s="363"/>
      <c r="D103" s="363"/>
      <c r="E103" s="363"/>
      <c r="F103" s="363"/>
      <c r="G103" s="363"/>
      <c r="H103" s="363"/>
    </row>
    <row r="104" s="73" customFormat="true" ht="13.5" hidden="false" customHeight="false" outlineLevel="0" collapsed="false">
      <c r="A104" s="363"/>
      <c r="B104" s="363"/>
      <c r="C104" s="363"/>
      <c r="D104" s="363"/>
      <c r="E104" s="363"/>
      <c r="F104" s="363"/>
      <c r="G104" s="363"/>
      <c r="H104" s="363"/>
    </row>
    <row r="105" s="73" customFormat="true" ht="13.5" hidden="false" customHeight="false" outlineLevel="0" collapsed="false">
      <c r="A105" s="363"/>
      <c r="B105" s="363"/>
      <c r="C105" s="363"/>
      <c r="D105" s="363"/>
      <c r="E105" s="363"/>
      <c r="F105" s="363"/>
      <c r="G105" s="363"/>
      <c r="H105" s="363"/>
    </row>
    <row r="106" s="73" customFormat="true" ht="13.5" hidden="false" customHeight="false" outlineLevel="0" collapsed="false">
      <c r="A106" s="363"/>
      <c r="B106" s="363"/>
      <c r="C106" s="363"/>
      <c r="D106" s="363"/>
      <c r="E106" s="363"/>
      <c r="F106" s="363"/>
      <c r="G106" s="363"/>
      <c r="H106" s="363"/>
    </row>
    <row r="107" s="73" customFormat="true" ht="13.5" hidden="false" customHeight="false" outlineLevel="0" collapsed="false">
      <c r="A107" s="194" t="s">
        <v>658</v>
      </c>
      <c r="B107" s="363"/>
      <c r="C107" s="363"/>
      <c r="D107" s="363"/>
      <c r="E107" s="363"/>
      <c r="F107" s="363"/>
      <c r="G107" s="363"/>
      <c r="H107" s="363"/>
    </row>
    <row r="108" s="73" customFormat="true" ht="13.5" hidden="false" customHeight="false" outlineLevel="0" collapsed="false">
      <c r="A108" s="363"/>
      <c r="B108" s="363"/>
      <c r="C108" s="363"/>
      <c r="D108" s="363"/>
      <c r="E108" s="363"/>
      <c r="F108" s="363"/>
      <c r="G108" s="363"/>
      <c r="H108" s="363"/>
    </row>
    <row r="109" s="73" customFormat="true" ht="13.5" hidden="false" customHeight="false" outlineLevel="0" collapsed="false">
      <c r="A109" s="360" t="s">
        <v>656</v>
      </c>
      <c r="B109" s="328" t="n">
        <f aca="false">'0.DADES'!D37</f>
        <v>2005</v>
      </c>
      <c r="C109" s="328" t="n">
        <f aca="false">'0.DADES'!E37</f>
        <v>2006</v>
      </c>
      <c r="D109" s="328" t="n">
        <f aca="false">'0.DADES'!F37</f>
        <v>2007</v>
      </c>
      <c r="E109" s="328" t="n">
        <f aca="false">'0.DADES'!G37</f>
        <v>2008</v>
      </c>
      <c r="F109" s="328" t="n">
        <f aca="false">'0.DADES'!H37</f>
        <v>2009</v>
      </c>
      <c r="G109" s="328" t="n">
        <f aca="false">'0.DADES'!I37</f>
        <v>2010</v>
      </c>
      <c r="H109" s="328" t="s">
        <v>582</v>
      </c>
      <c r="I109" s="329"/>
      <c r="J109" s="194" t="s">
        <v>659</v>
      </c>
      <c r="K109" s="329"/>
      <c r="P109" s="194" t="s">
        <v>660</v>
      </c>
    </row>
    <row r="110" s="73" customFormat="true" ht="13.5" hidden="false" customHeight="false" outlineLevel="0" collapsed="false">
      <c r="A110" s="330" t="s">
        <v>588</v>
      </c>
      <c r="B110" s="381" t="n">
        <f aca="false">'1.EE'!B35+'1.EE'!B38-B70</f>
        <v>19433.8182067464</v>
      </c>
      <c r="C110" s="381" t="n">
        <f aca="false">'1.EE'!C35+'1.EE'!C38-C70</f>
        <v>21613.3225555511</v>
      </c>
      <c r="D110" s="381" t="n">
        <f aca="false">'1.EE'!D35+'1.EE'!D38-D70</f>
        <v>18930.9775730184</v>
      </c>
      <c r="E110" s="381" t="n">
        <f aca="false">'1.EE'!E35+'1.EE'!E38-E70</f>
        <v>18412.8100600224</v>
      </c>
      <c r="F110" s="381" t="n">
        <f aca="false">'1.EE'!F35+'1.EE'!F38-F70</f>
        <v>20009.6864317245</v>
      </c>
      <c r="G110" s="381" t="n">
        <f aca="false">'1.EE'!G35+'1.EE'!G38-G70</f>
        <v>19726.5510722777</v>
      </c>
      <c r="H110" s="332" t="n">
        <f aca="false">(F110-B110)/B110</f>
        <v>0.0296322739490411</v>
      </c>
      <c r="I110" s="382"/>
      <c r="J110" s="382"/>
      <c r="K110" s="358"/>
    </row>
    <row r="111" s="73" customFormat="true" ht="13.5" hidden="true" customHeight="false" outlineLevel="0" collapsed="false">
      <c r="A111" s="330" t="s">
        <v>51</v>
      </c>
      <c r="B111" s="381" t="n">
        <f aca="false">'2.GN'!B21</f>
        <v>0</v>
      </c>
      <c r="C111" s="381" t="n">
        <f aca="false">'2.GN'!C21</f>
        <v>0</v>
      </c>
      <c r="D111" s="381" t="n">
        <f aca="false">'2.GN'!D21</f>
        <v>0</v>
      </c>
      <c r="E111" s="381" t="n">
        <f aca="false">'2.GN'!E21</f>
        <v>0</v>
      </c>
      <c r="F111" s="381" t="n">
        <f aca="false">'2.GN'!F21</f>
        <v>0</v>
      </c>
      <c r="G111" s="383" t="n">
        <f aca="false">'2.GN'!G21</f>
        <v>0</v>
      </c>
      <c r="H111" s="332" t="n">
        <v>0</v>
      </c>
      <c r="I111" s="382"/>
      <c r="J111" s="382"/>
      <c r="K111" s="358"/>
    </row>
    <row r="112" s="73" customFormat="true" ht="13.5" hidden="false" customHeight="false" outlineLevel="0" collapsed="false">
      <c r="A112" s="330" t="s">
        <v>53</v>
      </c>
      <c r="B112" s="381" t="n">
        <f aca="false">'3.GLP'!B39</f>
        <v>860.999873442862</v>
      </c>
      <c r="C112" s="381" t="n">
        <f aca="false">'3.GLP'!C39</f>
        <v>861.532299971084</v>
      </c>
      <c r="D112" s="381" t="n">
        <f aca="false">'3.GLP'!D39</f>
        <v>891.378503294624</v>
      </c>
      <c r="E112" s="381" t="n">
        <f aca="false">'3.GLP'!E39</f>
        <v>863.723410288235</v>
      </c>
      <c r="F112" s="381" t="n">
        <f aca="false">'3.GLP'!F39</f>
        <v>820.432103384826</v>
      </c>
      <c r="G112" s="383" t="n">
        <f aca="false">'3.GLP'!G39</f>
        <v>840.95225409917</v>
      </c>
      <c r="H112" s="332" t="n">
        <f aca="false">(F112-B112)/B112</f>
        <v>-0.0471170453205981</v>
      </c>
      <c r="I112" s="382"/>
      <c r="J112" s="382"/>
      <c r="K112" s="358"/>
    </row>
    <row r="113" s="73" customFormat="true" ht="13.5" hidden="false" customHeight="false" outlineLevel="0" collapsed="false">
      <c r="A113" s="330" t="s">
        <v>117</v>
      </c>
      <c r="B113" s="381" t="n">
        <f aca="false">'4.CL'!B84</f>
        <v>7153.52954833435</v>
      </c>
      <c r="C113" s="381" t="n">
        <f aca="false">'4.CL'!C84</f>
        <v>8410.89750369483</v>
      </c>
      <c r="D113" s="381" t="n">
        <f aca="false">'4.CL'!D84</f>
        <v>9141.22297829023</v>
      </c>
      <c r="E113" s="381" t="n">
        <f aca="false">'4.CL'!E84</f>
        <v>8055.29749380364</v>
      </c>
      <c r="F113" s="381" t="n">
        <f aca="false">'4.CL'!F84</f>
        <v>7367.21637381931</v>
      </c>
      <c r="G113" s="381" t="n">
        <f aca="false">'4.CL'!G84</f>
        <v>5936.14082387941</v>
      </c>
      <c r="H113" s="332" t="n">
        <f aca="false">(F113-B113)/B113</f>
        <v>0.0298715234264624</v>
      </c>
      <c r="I113" s="382"/>
      <c r="J113" s="382"/>
      <c r="K113" s="358"/>
    </row>
    <row r="114" s="73" customFormat="true" ht="13.5" hidden="false" customHeight="false" outlineLevel="0" collapsed="false">
      <c r="A114" s="330" t="s">
        <v>119</v>
      </c>
      <c r="B114" s="381" t="n">
        <f aca="false">'4.CL'!B94</f>
        <v>0.0836119474599058</v>
      </c>
      <c r="C114" s="381" t="n">
        <f aca="false">'4.CL'!C94</f>
        <v>0.0822135848331716</v>
      </c>
      <c r="D114" s="381" t="n">
        <f aca="false">'4.CL'!D94</f>
        <v>0.0883690522393922</v>
      </c>
      <c r="E114" s="381" t="n">
        <f aca="false">'4.CL'!E94</f>
        <v>0.100312391567398</v>
      </c>
      <c r="F114" s="381" t="n">
        <f aca="false">'4.CL'!F94</f>
        <v>0</v>
      </c>
      <c r="G114" s="381" t="n">
        <f aca="false">'4.CL'!G94</f>
        <v>0</v>
      </c>
      <c r="H114" s="332" t="n">
        <f aca="false">(F114-B114)/B114</f>
        <v>-1</v>
      </c>
      <c r="I114" s="382"/>
      <c r="J114" s="382"/>
      <c r="K114" s="358"/>
    </row>
    <row r="115" s="73" customFormat="true" ht="13.5" hidden="false" customHeight="false" outlineLevel="0" collapsed="false">
      <c r="A115" s="334" t="s">
        <v>272</v>
      </c>
      <c r="B115" s="347" t="n">
        <f aca="false">SUM(B110:B114)</f>
        <v>27448.431240471</v>
      </c>
      <c r="C115" s="347" t="n">
        <f aca="false">SUM(C110:C114)</f>
        <v>30885.8345728018</v>
      </c>
      <c r="D115" s="347" t="n">
        <f aca="false">SUM(D110:D114)</f>
        <v>28963.6674236554</v>
      </c>
      <c r="E115" s="347" t="n">
        <f aca="false">SUM(E110:E114)</f>
        <v>27331.9312765058</v>
      </c>
      <c r="F115" s="347" t="n">
        <f aca="false">SUM(F110:F114)</f>
        <v>28197.3349089287</v>
      </c>
      <c r="G115" s="348" t="n">
        <f aca="false">SUM(G110:G114)</f>
        <v>26503.6441502563</v>
      </c>
      <c r="H115" s="336" t="n">
        <f aca="false">(F115-B115)/B115</f>
        <v>0.0272840244273567</v>
      </c>
      <c r="I115" s="382"/>
      <c r="J115" s="382"/>
      <c r="K115" s="358"/>
    </row>
    <row r="116" s="73" customFormat="true" ht="13.5" hidden="false" customHeight="false" outlineLevel="0" collapsed="false">
      <c r="A116" s="98"/>
      <c r="B116" s="351"/>
      <c r="C116" s="351"/>
      <c r="D116" s="351"/>
      <c r="E116" s="351"/>
      <c r="F116" s="351"/>
      <c r="G116" s="351"/>
      <c r="H116" s="333"/>
      <c r="I116" s="382"/>
      <c r="J116" s="382"/>
      <c r="K116" s="358"/>
    </row>
    <row r="117" s="73" customFormat="true" ht="13.5" hidden="false" customHeight="false" outlineLevel="0" collapsed="false">
      <c r="A117" s="98"/>
      <c r="B117" s="351"/>
      <c r="C117" s="351"/>
      <c r="D117" s="351"/>
      <c r="E117" s="351"/>
      <c r="F117" s="351"/>
      <c r="G117" s="351"/>
      <c r="H117" s="333"/>
      <c r="I117" s="382"/>
      <c r="J117" s="382"/>
      <c r="K117" s="358"/>
    </row>
    <row r="118" s="73" customFormat="true" ht="13.5" hidden="false" customHeight="false" outlineLevel="0" collapsed="false">
      <c r="A118" s="98"/>
      <c r="B118" s="351"/>
      <c r="C118" s="351"/>
      <c r="D118" s="351"/>
      <c r="E118" s="351"/>
      <c r="F118" s="351"/>
      <c r="G118" s="351"/>
      <c r="H118" s="333"/>
      <c r="I118" s="382"/>
      <c r="J118" s="382"/>
      <c r="K118" s="358"/>
    </row>
    <row r="119" s="73" customFormat="true" ht="13.5" hidden="false" customHeight="false" outlineLevel="0" collapsed="false">
      <c r="A119" s="363"/>
      <c r="B119" s="363"/>
      <c r="C119" s="363"/>
      <c r="D119" s="363"/>
      <c r="E119" s="363"/>
      <c r="F119" s="363"/>
      <c r="G119" s="363"/>
      <c r="H119" s="363"/>
    </row>
    <row r="120" s="73" customFormat="true" ht="13.5" hidden="false" customHeight="false" outlineLevel="0" collapsed="false">
      <c r="A120" s="363"/>
      <c r="B120" s="363"/>
      <c r="C120" s="363"/>
      <c r="D120" s="363"/>
      <c r="E120" s="363"/>
      <c r="F120" s="363"/>
      <c r="G120" s="363"/>
      <c r="H120" s="363"/>
    </row>
    <row r="121" s="73" customFormat="true" ht="13.5" hidden="false" customHeight="false" outlineLevel="0" collapsed="false">
      <c r="A121" s="194" t="s">
        <v>661</v>
      </c>
      <c r="B121" s="363"/>
      <c r="C121" s="363"/>
      <c r="D121" s="363"/>
      <c r="E121" s="363"/>
      <c r="F121" s="363"/>
      <c r="G121" s="363"/>
      <c r="H121" s="363"/>
    </row>
    <row r="122" s="73" customFormat="true" ht="13.5" hidden="false" customHeight="false" outlineLevel="0" collapsed="false">
      <c r="A122" s="363"/>
      <c r="B122" s="363"/>
      <c r="C122" s="363"/>
      <c r="D122" s="363"/>
      <c r="E122" s="363"/>
      <c r="F122" s="363"/>
      <c r="G122" s="363"/>
      <c r="H122" s="363"/>
    </row>
    <row r="123" s="73" customFormat="true" ht="13.5" hidden="false" customHeight="false" outlineLevel="0" collapsed="false">
      <c r="A123" s="360" t="s">
        <v>662</v>
      </c>
      <c r="B123" s="328" t="n">
        <f aca="false">'0.DADES'!D37</f>
        <v>2005</v>
      </c>
      <c r="C123" s="328" t="n">
        <f aca="false">'0.DADES'!E37</f>
        <v>2006</v>
      </c>
      <c r="D123" s="328" t="n">
        <f aca="false">'0.DADES'!F37</f>
        <v>2007</v>
      </c>
      <c r="E123" s="328" t="n">
        <f aca="false">'0.DADES'!G37</f>
        <v>2008</v>
      </c>
      <c r="F123" s="328" t="n">
        <f aca="false">'0.DADES'!H37</f>
        <v>2009</v>
      </c>
      <c r="G123" s="328" t="n">
        <f aca="false">'0.DADES'!I37</f>
        <v>2010</v>
      </c>
      <c r="H123" s="328" t="s">
        <v>582</v>
      </c>
    </row>
    <row r="124" s="73" customFormat="true" ht="13.5" hidden="false" customHeight="false" outlineLevel="0" collapsed="false">
      <c r="A124" s="330" t="s">
        <v>588</v>
      </c>
      <c r="B124" s="381" t="n">
        <f aca="false">'1.EE'!B10</f>
        <v>43823.513</v>
      </c>
      <c r="C124" s="381" t="n">
        <f aca="false">'1.EE'!C10</f>
        <v>44975.886</v>
      </c>
      <c r="D124" s="381" t="n">
        <f aca="false">'1.EE'!D10</f>
        <v>47164.873</v>
      </c>
      <c r="E124" s="381" t="n">
        <f aca="false">'1.EE'!E10</f>
        <v>47462.39</v>
      </c>
      <c r="F124" s="381" t="n">
        <f aca="false">'1.EE'!F10</f>
        <v>46024.755</v>
      </c>
      <c r="G124" s="381" t="n">
        <f aca="false">'1.EE'!G10</f>
        <v>51014.006</v>
      </c>
      <c r="H124" s="332" t="n">
        <f aca="false">(F124-B124)/B124</f>
        <v>0.0502297020323313</v>
      </c>
    </row>
    <row r="125" s="73" customFormat="true" ht="13.5" hidden="true" customHeight="false" outlineLevel="0" collapsed="false">
      <c r="A125" s="330" t="s">
        <v>51</v>
      </c>
      <c r="B125" s="381" t="n">
        <f aca="false">'2.GN'!B10</f>
        <v>0</v>
      </c>
      <c r="C125" s="381" t="n">
        <f aca="false">'2.GN'!C10</f>
        <v>0</v>
      </c>
      <c r="D125" s="381" t="n">
        <f aca="false">'2.GN'!D10</f>
        <v>0</v>
      </c>
      <c r="E125" s="381" t="n">
        <f aca="false">'2.GN'!E10</f>
        <v>0</v>
      </c>
      <c r="F125" s="381" t="n">
        <f aca="false">'2.GN'!F10</f>
        <v>0</v>
      </c>
      <c r="G125" s="381" t="n">
        <f aca="false">'2.GN'!G10</f>
        <v>0</v>
      </c>
      <c r="H125" s="332" t="n">
        <v>0</v>
      </c>
      <c r="P125" s="194" t="s">
        <v>663</v>
      </c>
    </row>
    <row r="126" s="73" customFormat="true" ht="13.5" hidden="false" customHeight="false" outlineLevel="0" collapsed="false">
      <c r="A126" s="330" t="s">
        <v>53</v>
      </c>
      <c r="B126" s="381" t="n">
        <f aca="false">'3.GLP'!B10</f>
        <v>7196.84957811331</v>
      </c>
      <c r="C126" s="381" t="n">
        <f aca="false">'3.GLP'!C10</f>
        <v>6606.19394846663</v>
      </c>
      <c r="D126" s="381" t="n">
        <f aca="false">'3.GLP'!D10</f>
        <v>5839.33402120448</v>
      </c>
      <c r="E126" s="381" t="n">
        <f aca="false">'3.GLP'!E10</f>
        <v>5682.90444122535</v>
      </c>
      <c r="F126" s="381" t="n">
        <f aca="false">'3.GLP'!F10</f>
        <v>5288.33776738717</v>
      </c>
      <c r="G126" s="381" t="n">
        <f aca="false">'3.GLP'!G10</f>
        <v>4538.53038633347</v>
      </c>
      <c r="H126" s="332" t="n">
        <f aca="false">(F126-B126)/B126</f>
        <v>-0.265187119726694</v>
      </c>
      <c r="J126" s="194" t="s">
        <v>664</v>
      </c>
    </row>
    <row r="127" s="73" customFormat="true" ht="13.5" hidden="false" customHeight="false" outlineLevel="0" collapsed="false">
      <c r="A127" s="330" t="s">
        <v>117</v>
      </c>
      <c r="B127" s="381" t="n">
        <f aca="false">'4.CL'!B20</f>
        <v>21137.2263668869</v>
      </c>
      <c r="C127" s="381" t="n">
        <f aca="false">'4.CL'!C20</f>
        <v>25662.7309229245</v>
      </c>
      <c r="D127" s="381" t="n">
        <f aca="false">'4.CL'!D20</f>
        <v>28151.514631136</v>
      </c>
      <c r="E127" s="381" t="n">
        <f aca="false">'4.CL'!E20</f>
        <v>24665.5869983514</v>
      </c>
      <c r="F127" s="381" t="n">
        <f aca="false">'4.CL'!F20</f>
        <v>22794.3012834114</v>
      </c>
      <c r="G127" s="381" t="n">
        <f aca="false">'4.CL'!G20</f>
        <v>18043.0395421615</v>
      </c>
      <c r="H127" s="332" t="n">
        <f aca="false">(F127-B127)/B127</f>
        <v>0.0783960434430707</v>
      </c>
      <c r="J127" s="194"/>
    </row>
    <row r="128" s="73" customFormat="true" ht="13.5" hidden="false" customHeight="false" outlineLevel="0" collapsed="false">
      <c r="A128" s="334" t="s">
        <v>272</v>
      </c>
      <c r="B128" s="347" t="n">
        <f aca="false">SUM(B124:B127)</f>
        <v>72157.5889450002</v>
      </c>
      <c r="C128" s="347" t="n">
        <f aca="false">SUM(C124:C127)</f>
        <v>77244.8108713911</v>
      </c>
      <c r="D128" s="347" t="n">
        <f aca="false">SUM(D124:D127)</f>
        <v>81155.7216523405</v>
      </c>
      <c r="E128" s="347" t="n">
        <f aca="false">SUM(E124:E127)</f>
        <v>77810.8814395767</v>
      </c>
      <c r="F128" s="347" t="n">
        <f aca="false">SUM(F124:F127)</f>
        <v>74107.3940507986</v>
      </c>
      <c r="G128" s="347" t="n">
        <f aca="false">SUM(G124:G127)</f>
        <v>73595.575928495</v>
      </c>
      <c r="H128" s="336" t="n">
        <f aca="false">(F128-B128)/B128</f>
        <v>0.0270214835931468</v>
      </c>
    </row>
    <row r="129" s="73" customFormat="true" ht="13.5" hidden="false" customHeight="false" outlineLevel="0" collapsed="false">
      <c r="A129" s="363"/>
      <c r="B129" s="363"/>
      <c r="C129" s="363"/>
      <c r="D129" s="363"/>
      <c r="E129" s="363"/>
      <c r="F129" s="363"/>
      <c r="G129" s="363"/>
      <c r="H129" s="363"/>
    </row>
    <row r="130" s="73" customFormat="true" ht="13.5" hidden="false" customHeight="false" outlineLevel="0" collapsed="false">
      <c r="A130" s="363"/>
      <c r="B130" s="363"/>
      <c r="C130" s="363"/>
      <c r="D130" s="363"/>
      <c r="E130" s="363"/>
      <c r="F130" s="363"/>
      <c r="G130" s="363"/>
      <c r="H130" s="363"/>
    </row>
    <row r="131" s="73" customFormat="true" ht="13.5" hidden="false" customHeight="false" outlineLevel="0" collapsed="false">
      <c r="A131" s="363"/>
      <c r="B131" s="363"/>
      <c r="C131" s="363"/>
      <c r="D131" s="363"/>
      <c r="E131" s="363"/>
      <c r="F131" s="363"/>
      <c r="G131" s="363"/>
      <c r="H131" s="363"/>
    </row>
    <row r="132" s="73" customFormat="true" ht="13.5" hidden="false" customHeight="false" outlineLevel="0" collapsed="false">
      <c r="A132" s="363"/>
      <c r="B132" s="363"/>
      <c r="C132" s="363"/>
      <c r="D132" s="363"/>
      <c r="E132" s="363"/>
      <c r="F132" s="363"/>
      <c r="G132" s="363"/>
      <c r="H132" s="363"/>
    </row>
    <row r="133" s="73" customFormat="true" ht="13.5" hidden="false" customHeight="false" outlineLevel="0" collapsed="false">
      <c r="A133" s="363"/>
      <c r="B133" s="363"/>
      <c r="C133" s="363"/>
      <c r="D133" s="363"/>
      <c r="E133" s="363"/>
      <c r="F133" s="363"/>
      <c r="G133" s="363"/>
      <c r="H133" s="363"/>
    </row>
    <row r="134" s="73" customFormat="true" ht="13.5" hidden="false" customHeight="false" outlineLevel="0" collapsed="false">
      <c r="A134" s="363"/>
      <c r="B134" s="363"/>
      <c r="C134" s="363"/>
      <c r="D134" s="363"/>
      <c r="E134" s="363"/>
      <c r="F134" s="363"/>
      <c r="G134" s="363"/>
      <c r="H134" s="363"/>
    </row>
    <row r="135" s="73" customFormat="true" ht="13.5" hidden="false" customHeight="false" outlineLevel="0" collapsed="false">
      <c r="A135" s="363"/>
      <c r="B135" s="363"/>
      <c r="C135" s="363"/>
      <c r="D135" s="363"/>
      <c r="E135" s="363"/>
      <c r="F135" s="363"/>
      <c r="G135" s="363"/>
      <c r="H135" s="363"/>
    </row>
    <row r="136" s="73" customFormat="true" ht="13.5" hidden="false" customHeight="false" outlineLevel="0" collapsed="false">
      <c r="A136" s="194" t="s">
        <v>665</v>
      </c>
      <c r="B136" s="363"/>
      <c r="C136" s="363"/>
      <c r="D136" s="363"/>
      <c r="E136" s="363"/>
      <c r="F136" s="363"/>
      <c r="G136" s="363"/>
      <c r="H136" s="363"/>
    </row>
    <row r="137" s="73" customFormat="true" ht="13.5" hidden="false" customHeight="false" outlineLevel="0" collapsed="false">
      <c r="A137" s="363"/>
      <c r="B137" s="363"/>
      <c r="C137" s="363"/>
      <c r="D137" s="363"/>
      <c r="E137" s="363"/>
      <c r="F137" s="363"/>
      <c r="G137" s="363"/>
      <c r="H137" s="363"/>
    </row>
    <row r="138" s="73" customFormat="true" ht="13.5" hidden="false" customHeight="false" outlineLevel="0" collapsed="false">
      <c r="A138" s="360" t="s">
        <v>662</v>
      </c>
      <c r="B138" s="360" t="n">
        <f aca="false">'0.DADES'!D37</f>
        <v>2005</v>
      </c>
      <c r="C138" s="360" t="n">
        <f aca="false">'0.DADES'!E37</f>
        <v>2006</v>
      </c>
      <c r="D138" s="360" t="n">
        <f aca="false">'0.DADES'!F37</f>
        <v>2007</v>
      </c>
      <c r="E138" s="360" t="n">
        <f aca="false">'0.DADES'!G37</f>
        <v>2008</v>
      </c>
      <c r="F138" s="360" t="n">
        <f aca="false">'0.DADES'!H37</f>
        <v>2009</v>
      </c>
      <c r="G138" s="360" t="n">
        <f aca="false">'0.DADES'!I37</f>
        <v>2010</v>
      </c>
      <c r="H138" s="328" t="s">
        <v>582</v>
      </c>
    </row>
    <row r="139" s="73" customFormat="true" ht="13.5" hidden="false" customHeight="false" outlineLevel="0" collapsed="false">
      <c r="A139" s="330" t="s">
        <v>588</v>
      </c>
      <c r="B139" s="381" t="n">
        <f aca="false">'1.EE'!B36</f>
        <v>36978.2802694</v>
      </c>
      <c r="C139" s="381" t="n">
        <f aca="false">'1.EE'!C36</f>
        <v>40856.0948424</v>
      </c>
      <c r="D139" s="381" t="n">
        <f aca="false">'1.EE'!D36</f>
        <v>38727.0772203</v>
      </c>
      <c r="E139" s="381" t="n">
        <f aca="false">'1.EE'!E36</f>
        <v>39260.889008</v>
      </c>
      <c r="F139" s="381" t="n">
        <f aca="false">'1.EE'!F36</f>
        <v>39033.5947155</v>
      </c>
      <c r="G139" s="381" t="n">
        <f aca="false">'1.EE'!G36</f>
        <v>43264.9784886</v>
      </c>
      <c r="H139" s="332" t="n">
        <f aca="false">(F139-B139)/B139</f>
        <v>0.055581666619602</v>
      </c>
    </row>
    <row r="140" s="73" customFormat="true" ht="13.5" hidden="true" customHeight="false" outlineLevel="0" collapsed="false">
      <c r="A140" s="330" t="s">
        <v>51</v>
      </c>
      <c r="B140" s="381" t="n">
        <f aca="false">'2.GN'!B22</f>
        <v>0</v>
      </c>
      <c r="C140" s="381" t="n">
        <f aca="false">'2.GN'!C22</f>
        <v>0</v>
      </c>
      <c r="D140" s="381" t="n">
        <f aca="false">'2.GN'!D22</f>
        <v>0</v>
      </c>
      <c r="E140" s="381" t="n">
        <f aca="false">'2.GN'!E22</f>
        <v>0</v>
      </c>
      <c r="F140" s="381" t="n">
        <f aca="false">'2.GN'!F22</f>
        <v>0</v>
      </c>
      <c r="G140" s="381" t="n">
        <f aca="false">'2.GN'!G22</f>
        <v>0</v>
      </c>
      <c r="H140" s="332" t="n">
        <v>0</v>
      </c>
    </row>
    <row r="141" s="73" customFormat="true" ht="13.5" hidden="false" customHeight="false" outlineLevel="0" collapsed="false">
      <c r="A141" s="330" t="s">
        <v>53</v>
      </c>
      <c r="B141" s="381" t="n">
        <f aca="false">'3.GLP'!B40</f>
        <v>1921.55883735625</v>
      </c>
      <c r="C141" s="381" t="n">
        <f aca="false">'3.GLP'!C40</f>
        <v>1763.85378424059</v>
      </c>
      <c r="D141" s="381" t="n">
        <f aca="false">'3.GLP'!D40</f>
        <v>1559.1021836616</v>
      </c>
      <c r="E141" s="381" t="n">
        <f aca="false">'3.GLP'!E40</f>
        <v>1517.33548580717</v>
      </c>
      <c r="F141" s="381" t="n">
        <f aca="false">'3.GLP'!F40</f>
        <v>1411.98618389238</v>
      </c>
      <c r="G141" s="381" t="n">
        <f aca="false">'3.GLP'!G40</f>
        <v>1211.78761315104</v>
      </c>
      <c r="H141" s="332" t="n">
        <f aca="false">(F141-B141)/B141</f>
        <v>-0.265187119726694</v>
      </c>
      <c r="J141" s="194" t="s">
        <v>666</v>
      </c>
      <c r="P141" s="194" t="s">
        <v>667</v>
      </c>
    </row>
    <row r="142" s="73" customFormat="true" ht="13.5" hidden="false" customHeight="false" outlineLevel="0" collapsed="false">
      <c r="A142" s="330" t="s">
        <v>117</v>
      </c>
      <c r="B142" s="381" t="n">
        <f aca="false">'4.CL'!B85</f>
        <v>5643.63943995881</v>
      </c>
      <c r="C142" s="381" t="n">
        <f aca="false">'4.CL'!C85</f>
        <v>6851.94915642084</v>
      </c>
      <c r="D142" s="381" t="n">
        <f aca="false">'4.CL'!D85</f>
        <v>7516.45440651332</v>
      </c>
      <c r="E142" s="381" t="n">
        <f aca="false">'4.CL'!E85</f>
        <v>6585.71172855981</v>
      </c>
      <c r="F142" s="381" t="n">
        <f aca="false">'4.CL'!F85</f>
        <v>6086.07844267084</v>
      </c>
      <c r="G142" s="381" t="n">
        <f aca="false">'4.CL'!G85</f>
        <v>4817.49155775713</v>
      </c>
      <c r="H142" s="332" t="n">
        <f aca="false">(F142-B142)/B142</f>
        <v>0.0783960434430706</v>
      </c>
      <c r="J142" s="194"/>
      <c r="P142" s="194"/>
    </row>
    <row r="143" s="73" customFormat="true" ht="13.5" hidden="false" customHeight="false" outlineLevel="0" collapsed="false">
      <c r="A143" s="334" t="s">
        <v>272</v>
      </c>
      <c r="B143" s="347" t="n">
        <f aca="false">SUM(B139:B142)</f>
        <v>44543.4785467151</v>
      </c>
      <c r="C143" s="347" t="n">
        <f aca="false">SUM(C139:C142)</f>
        <v>49471.8977830614</v>
      </c>
      <c r="D143" s="347" t="n">
        <f aca="false">SUM(D139:D142)</f>
        <v>47802.6338104749</v>
      </c>
      <c r="E143" s="347" t="n">
        <f aca="false">SUM(E139:E142)</f>
        <v>47363.936222367</v>
      </c>
      <c r="F143" s="347" t="n">
        <f aca="false">SUM(F139:F142)</f>
        <v>46531.6593420632</v>
      </c>
      <c r="G143" s="347" t="n">
        <f aca="false">SUM(G139:G142)</f>
        <v>49294.2576595082</v>
      </c>
      <c r="H143" s="336" t="n">
        <f aca="false">(F143-B143)/B143</f>
        <v>0.044634610053255</v>
      </c>
    </row>
    <row r="144" s="73" customFormat="true" ht="13.5" hidden="false" customHeight="false" outlineLevel="0" collapsed="false">
      <c r="A144" s="98"/>
      <c r="B144" s="351"/>
      <c r="C144" s="351"/>
      <c r="D144" s="351"/>
      <c r="E144" s="351"/>
      <c r="F144" s="351"/>
      <c r="G144" s="351"/>
      <c r="H144" s="333"/>
    </row>
    <row r="145" s="73" customFormat="true" ht="13.5" hidden="false" customHeight="false" outlineLevel="0" collapsed="false">
      <c r="A145" s="98"/>
      <c r="B145" s="351"/>
      <c r="C145" s="351"/>
      <c r="D145" s="351"/>
      <c r="E145" s="351"/>
      <c r="F145" s="351"/>
      <c r="G145" s="351"/>
      <c r="H145" s="333"/>
    </row>
    <row r="146" s="73" customFormat="true" ht="13.5" hidden="false" customHeight="false" outlineLevel="0" collapsed="false">
      <c r="A146" s="98"/>
      <c r="B146" s="351"/>
      <c r="C146" s="351"/>
      <c r="D146" s="351"/>
      <c r="E146" s="351"/>
      <c r="F146" s="351"/>
      <c r="G146" s="351"/>
      <c r="H146" s="333"/>
    </row>
    <row r="147" s="73" customFormat="true" ht="13.5" hidden="false" customHeight="false" outlineLevel="0" collapsed="false">
      <c r="A147" s="98"/>
      <c r="B147" s="351"/>
      <c r="C147" s="351"/>
      <c r="D147" s="351"/>
      <c r="E147" s="351"/>
      <c r="F147" s="351"/>
      <c r="G147" s="351"/>
      <c r="H147" s="333"/>
    </row>
    <row r="148" s="73" customFormat="true" ht="13.5" hidden="false" customHeight="false" outlineLevel="0" collapsed="false">
      <c r="A148" s="98"/>
      <c r="B148" s="351"/>
      <c r="C148" s="351"/>
      <c r="D148" s="351"/>
      <c r="E148" s="351"/>
      <c r="F148" s="351"/>
      <c r="G148" s="351"/>
      <c r="H148" s="333"/>
    </row>
    <row r="149" s="73" customFormat="true" ht="13.5" hidden="false" customHeight="false" outlineLevel="0" collapsed="false">
      <c r="A149" s="98"/>
      <c r="B149" s="351"/>
      <c r="C149" s="351"/>
      <c r="D149" s="351"/>
      <c r="E149" s="351"/>
      <c r="F149" s="351"/>
      <c r="G149" s="351"/>
      <c r="H149" s="333"/>
    </row>
    <row r="150" s="73" customFormat="true" ht="13.5" hidden="false" customHeight="false" outlineLevel="0" collapsed="false">
      <c r="A150" s="374" t="s">
        <v>668</v>
      </c>
      <c r="B150" s="351"/>
      <c r="C150" s="351"/>
      <c r="D150" s="351"/>
      <c r="E150" s="351"/>
      <c r="F150" s="351"/>
      <c r="G150" s="351"/>
      <c r="H150" s="333"/>
    </row>
    <row r="151" s="73" customFormat="true" ht="13.5" hidden="false" customHeight="false" outlineLevel="0" collapsed="false">
      <c r="A151" s="98"/>
      <c r="B151" s="351"/>
      <c r="C151" s="351"/>
      <c r="D151" s="351"/>
      <c r="E151" s="351"/>
      <c r="F151" s="351"/>
      <c r="G151" s="351"/>
      <c r="H151" s="333"/>
    </row>
    <row r="152" s="73" customFormat="true" ht="13.5" hidden="false" customHeight="false" outlineLevel="0" collapsed="false">
      <c r="A152" s="360" t="s">
        <v>669</v>
      </c>
      <c r="B152" s="360" t="n">
        <f aca="false">'0.DADES'!D37</f>
        <v>2005</v>
      </c>
      <c r="C152" s="360" t="n">
        <f aca="false">'0.DADES'!E37</f>
        <v>2006</v>
      </c>
      <c r="D152" s="360" t="n">
        <f aca="false">'0.DADES'!F37</f>
        <v>2007</v>
      </c>
      <c r="E152" s="360" t="n">
        <f aca="false">'0.DADES'!G37</f>
        <v>2008</v>
      </c>
      <c r="F152" s="360" t="n">
        <f aca="false">'0.DADES'!H37</f>
        <v>2009</v>
      </c>
      <c r="G152" s="360" t="n">
        <f aca="false">'0.DADES'!I37</f>
        <v>2010</v>
      </c>
      <c r="H152" s="328" t="s">
        <v>582</v>
      </c>
    </row>
    <row r="153" s="73" customFormat="true" ht="24.75" hidden="false" customHeight="true" outlineLevel="0" collapsed="false">
      <c r="A153" s="330" t="s">
        <v>101</v>
      </c>
      <c r="B153" s="320" t="n">
        <f aca="false">'0.DADES'!D18</f>
        <v>6520</v>
      </c>
      <c r="C153" s="320" t="n">
        <f aca="false">'0.DADES'!E18</f>
        <v>6987</v>
      </c>
      <c r="D153" s="320" t="n">
        <f aca="false">'0.DADES'!F18</f>
        <v>7395</v>
      </c>
      <c r="E153" s="320" t="n">
        <f aca="false">'0.DADES'!G18</f>
        <v>7625</v>
      </c>
      <c r="F153" s="320" t="n">
        <f aca="false">'0.DADES'!H18</f>
        <v>7491</v>
      </c>
      <c r="G153" s="320" t="n">
        <f aca="false">'0.DADES'!I18</f>
        <v>7572</v>
      </c>
      <c r="H153" s="332" t="n">
        <f aca="false">(F153-B153)/B153</f>
        <v>0.148926380368098</v>
      </c>
    </row>
    <row r="154" s="73" customFormat="true" ht="24.75" hidden="false" customHeight="true" outlineLevel="0" collapsed="false">
      <c r="A154" s="330" t="s">
        <v>102</v>
      </c>
      <c r="B154" s="320" t="n">
        <f aca="false">'0.DADES'!D19</f>
        <v>775</v>
      </c>
      <c r="C154" s="320" t="n">
        <f aca="false">'0.DADES'!E19</f>
        <v>878</v>
      </c>
      <c r="D154" s="320" t="n">
        <f aca="false">'0.DADES'!F19</f>
        <v>962</v>
      </c>
      <c r="E154" s="320" t="n">
        <f aca="false">'0.DADES'!G19</f>
        <v>1035</v>
      </c>
      <c r="F154" s="320" t="n">
        <f aca="false">'0.DADES'!H19</f>
        <v>1070</v>
      </c>
      <c r="G154" s="320" t="n">
        <f aca="false">'0.DADES'!I19</f>
        <v>1121</v>
      </c>
      <c r="H154" s="332" t="n">
        <f aca="false">(F154-B154)/B154</f>
        <v>0.380645161290323</v>
      </c>
    </row>
    <row r="155" s="73" customFormat="true" ht="24.75" hidden="false" customHeight="true" outlineLevel="0" collapsed="false">
      <c r="A155" s="330" t="s">
        <v>103</v>
      </c>
      <c r="B155" s="320" t="n">
        <f aca="false">'0.DADES'!D20</f>
        <v>23</v>
      </c>
      <c r="C155" s="320" t="n">
        <f aca="false">'0.DADES'!E20</f>
        <v>22</v>
      </c>
      <c r="D155" s="320" t="n">
        <f aca="false">'0.DADES'!F20</f>
        <v>22</v>
      </c>
      <c r="E155" s="320" t="n">
        <f aca="false">'0.DADES'!G20</f>
        <v>20</v>
      </c>
      <c r="F155" s="320" t="n">
        <f aca="false">'0.DADES'!H20</f>
        <v>21</v>
      </c>
      <c r="G155" s="320" t="n">
        <f aca="false">'0.DADES'!I20</f>
        <v>20</v>
      </c>
      <c r="H155" s="332" t="n">
        <f aca="false">(F155-B155)/B155</f>
        <v>-0.0869565217391304</v>
      </c>
    </row>
    <row r="156" s="73" customFormat="true" ht="13.5" hidden="false" customHeight="false" outlineLevel="0" collapsed="false">
      <c r="A156" s="330" t="s">
        <v>104</v>
      </c>
      <c r="B156" s="320" t="n">
        <f aca="false">'0.DADES'!D21</f>
        <v>1209</v>
      </c>
      <c r="C156" s="320" t="n">
        <f aca="false">'0.DADES'!E21</f>
        <v>1313</v>
      </c>
      <c r="D156" s="320" t="n">
        <f aca="false">'0.DADES'!F21</f>
        <v>1400</v>
      </c>
      <c r="E156" s="320" t="n">
        <f aca="false">'0.DADES'!G21</f>
        <v>1450</v>
      </c>
      <c r="F156" s="320" t="n">
        <f aca="false">'0.DADES'!H21</f>
        <v>1472</v>
      </c>
      <c r="G156" s="320" t="n">
        <f aca="false">'0.DADES'!I21</f>
        <v>1500</v>
      </c>
      <c r="H156" s="332" t="n">
        <f aca="false">(F156-B156)/B156</f>
        <v>0.217535153019024</v>
      </c>
    </row>
    <row r="157" s="73" customFormat="true" ht="13.5" hidden="false" customHeight="false" outlineLevel="0" collapsed="false">
      <c r="A157" s="330" t="s">
        <v>105</v>
      </c>
      <c r="B157" s="320" t="n">
        <f aca="false">'0.DADES'!D22</f>
        <v>13</v>
      </c>
      <c r="C157" s="320" t="n">
        <f aca="false">'0.DADES'!E22</f>
        <v>13</v>
      </c>
      <c r="D157" s="320" t="n">
        <f aca="false">'0.DADES'!F22</f>
        <v>12</v>
      </c>
      <c r="E157" s="320" t="n">
        <f aca="false">'0.DADES'!G22</f>
        <v>12</v>
      </c>
      <c r="F157" s="320" t="n">
        <f aca="false">'0.DADES'!H22</f>
        <v>10</v>
      </c>
      <c r="G157" s="320" t="n">
        <f aca="false">'0.DADES'!I22</f>
        <v>8</v>
      </c>
      <c r="H157" s="332" t="n">
        <f aca="false">(F157-B157)/B157</f>
        <v>-0.230769230769231</v>
      </c>
    </row>
    <row r="158" s="73" customFormat="true" ht="24.75" hidden="false" customHeight="true" outlineLevel="0" collapsed="false">
      <c r="A158" s="330" t="s">
        <v>106</v>
      </c>
      <c r="B158" s="320" t="n">
        <f aca="false">'0.DADES'!D23</f>
        <v>113</v>
      </c>
      <c r="C158" s="320" t="n">
        <f aca="false">'0.DADES'!E23</f>
        <v>132</v>
      </c>
      <c r="D158" s="320" t="n">
        <f aca="false">'0.DADES'!F23</f>
        <v>138</v>
      </c>
      <c r="E158" s="320" t="n">
        <f aca="false">'0.DADES'!G23</f>
        <v>152</v>
      </c>
      <c r="F158" s="320" t="n">
        <f aca="false">'0.DADES'!H23</f>
        <v>150</v>
      </c>
      <c r="G158" s="320" t="n">
        <f aca="false">'0.DADES'!I23</f>
        <v>148</v>
      </c>
      <c r="H158" s="332" t="n">
        <f aca="false">(F158-B158)/B158</f>
        <v>0.327433628318584</v>
      </c>
    </row>
    <row r="159" s="73" customFormat="true" ht="13.5" hidden="false" customHeight="false" outlineLevel="0" collapsed="false">
      <c r="A159" s="384" t="s">
        <v>176</v>
      </c>
      <c r="B159" s="385" t="n">
        <f aca="false">'0.DADES'!D17</f>
        <v>8653</v>
      </c>
      <c r="C159" s="385" t="n">
        <f aca="false">'0.DADES'!E17</f>
        <v>9345</v>
      </c>
      <c r="D159" s="385" t="n">
        <f aca="false">'0.DADES'!F17</f>
        <v>9929</v>
      </c>
      <c r="E159" s="385" t="n">
        <f aca="false">'0.DADES'!G17</f>
        <v>10294</v>
      </c>
      <c r="F159" s="385" t="n">
        <f aca="false">'0.DADES'!H17</f>
        <v>10214</v>
      </c>
      <c r="G159" s="385" t="n">
        <f aca="false">'0.DADES'!I17</f>
        <v>10369</v>
      </c>
      <c r="H159" s="336" t="n">
        <f aca="false">(F159-B159)/B159</f>
        <v>0.180399861319773</v>
      </c>
    </row>
    <row r="160" s="73" customFormat="true" ht="13.5" hidden="false" customHeight="false" outlineLevel="0" collapsed="false">
      <c r="A160" s="384" t="s">
        <v>670</v>
      </c>
      <c r="B160" s="386" t="n">
        <f aca="false">'0.DADES'!D24</f>
        <v>634994</v>
      </c>
      <c r="C160" s="386" t="n">
        <f aca="false">'0.DADES'!E24</f>
        <v>658578</v>
      </c>
      <c r="D160" s="386" t="n">
        <f aca="false">'0.DADES'!F24</f>
        <v>686917</v>
      </c>
      <c r="E160" s="386" t="n">
        <f aca="false">'0.DADES'!G24</f>
        <v>696710</v>
      </c>
      <c r="F160" s="386" t="n">
        <f aca="false">'0.DADES'!H24</f>
        <v>691621</v>
      </c>
      <c r="G160" s="386" t="n">
        <f aca="false">'0.DADES'!I24</f>
        <v>696601</v>
      </c>
      <c r="H160" s="332" t="n">
        <f aca="false">(F160-B160)/B160</f>
        <v>0.0891772205721629</v>
      </c>
    </row>
    <row r="161" s="73" customFormat="true" ht="13.5" hidden="false" customHeight="false" outlineLevel="0" collapsed="false">
      <c r="A161" s="98"/>
      <c r="B161" s="387"/>
      <c r="C161" s="387"/>
      <c r="D161" s="387"/>
      <c r="E161" s="387"/>
      <c r="F161" s="387"/>
      <c r="G161" s="387"/>
      <c r="H161" s="333"/>
    </row>
    <row r="162" s="73" customFormat="true" ht="13.5" hidden="false" customHeight="false" outlineLevel="0" collapsed="false">
      <c r="A162" s="98"/>
      <c r="B162" s="387"/>
      <c r="C162" s="387"/>
      <c r="D162" s="387"/>
      <c r="E162" s="387"/>
      <c r="F162" s="387"/>
      <c r="G162" s="387"/>
      <c r="H162" s="333"/>
    </row>
    <row r="163" s="73" customFormat="true" ht="13.5" hidden="false" customHeight="false" outlineLevel="0" collapsed="false">
      <c r="A163" s="98"/>
      <c r="B163" s="387"/>
      <c r="C163" s="387"/>
      <c r="D163" s="387"/>
      <c r="E163" s="387"/>
      <c r="F163" s="387"/>
      <c r="G163" s="387"/>
      <c r="H163" s="333"/>
    </row>
    <row r="164" s="73" customFormat="true" ht="13.5" hidden="false" customHeight="false" outlineLevel="0" collapsed="false">
      <c r="A164" s="374" t="s">
        <v>671</v>
      </c>
      <c r="B164" s="387"/>
      <c r="C164" s="387"/>
      <c r="D164" s="387"/>
      <c r="E164" s="387"/>
      <c r="F164" s="387"/>
      <c r="G164" s="387"/>
      <c r="H164" s="333"/>
    </row>
    <row r="165" s="73" customFormat="true" ht="13.5" hidden="false" customHeight="false" outlineLevel="0" collapsed="false">
      <c r="A165" s="98"/>
      <c r="B165" s="387"/>
      <c r="C165" s="387"/>
      <c r="D165" s="387"/>
      <c r="E165" s="387"/>
      <c r="F165" s="387"/>
      <c r="G165" s="387"/>
      <c r="H165" s="333"/>
    </row>
    <row r="166" s="73" customFormat="true" ht="13.5" hidden="false" customHeight="false" outlineLevel="0" collapsed="false">
      <c r="A166" s="98"/>
      <c r="B166" s="388" t="n">
        <f aca="false">'0.DADES'!D37</f>
        <v>2005</v>
      </c>
      <c r="C166" s="388" t="n">
        <f aca="false">'0.DADES'!E37</f>
        <v>2006</v>
      </c>
      <c r="D166" s="388" t="n">
        <f aca="false">'0.DADES'!F37</f>
        <v>2007</v>
      </c>
      <c r="E166" s="388" t="n">
        <f aca="false">'0.DADES'!G37</f>
        <v>2008</v>
      </c>
      <c r="F166" s="388" t="n">
        <f aca="false">'0.DADES'!H37</f>
        <v>2009</v>
      </c>
      <c r="G166" s="388" t="n">
        <f aca="false">'0.DADES'!I37</f>
        <v>2010</v>
      </c>
      <c r="H166" s="333"/>
    </row>
    <row r="167" s="73" customFormat="true" ht="13.5" hidden="false" customHeight="false" outlineLevel="0" collapsed="false">
      <c r="A167" s="330" t="s">
        <v>143</v>
      </c>
      <c r="B167" s="389" t="n">
        <f aca="false">'4.CL'!B62</f>
        <v>0.580004905267031</v>
      </c>
      <c r="C167" s="389" t="n">
        <f aca="false">'4.CL'!C62</f>
        <v>0.592712043095488</v>
      </c>
      <c r="D167" s="389" t="n">
        <f aca="false">'4.CL'!D62</f>
        <v>0.611907305094238</v>
      </c>
      <c r="E167" s="389" t="n">
        <f aca="false">'4.CL'!E62</f>
        <v>0.622035199851072</v>
      </c>
      <c r="F167" s="389" t="n">
        <f aca="false">'4.CL'!F62</f>
        <v>0.622693010915067</v>
      </c>
      <c r="G167" s="389" t="n">
        <f aca="false">'4.CL'!G62</f>
        <v>0.626450638768668</v>
      </c>
      <c r="H167" s="333"/>
    </row>
    <row r="168" s="73" customFormat="true" ht="13.5" hidden="false" customHeight="false" outlineLevel="0" collapsed="false">
      <c r="A168" s="330" t="s">
        <v>228</v>
      </c>
      <c r="B168" s="389" t="n">
        <f aca="false">'4.CL'!B63</f>
        <v>0.41999509473297</v>
      </c>
      <c r="C168" s="389" t="n">
        <f aca="false">'4.CL'!C63</f>
        <v>0.407287956904512</v>
      </c>
      <c r="D168" s="389" t="n">
        <f aca="false">'4.CL'!D63</f>
        <v>0.388092694905762</v>
      </c>
      <c r="E168" s="389" t="n">
        <f aca="false">'4.CL'!E63</f>
        <v>0.377964800148928</v>
      </c>
      <c r="F168" s="389" t="n">
        <f aca="false">'4.CL'!F63</f>
        <v>0.377306989084934</v>
      </c>
      <c r="G168" s="389" t="n">
        <f aca="false">'4.CL'!G63</f>
        <v>0.373549361231332</v>
      </c>
      <c r="H168" s="333"/>
    </row>
    <row r="169" s="73" customFormat="true" ht="13.5" hidden="false" customHeight="false" outlineLevel="0" collapsed="false">
      <c r="A169" s="98"/>
      <c r="B169" s="387"/>
      <c r="C169" s="387"/>
      <c r="D169" s="387"/>
      <c r="E169" s="387"/>
      <c r="F169" s="387"/>
      <c r="G169" s="387"/>
      <c r="H169" s="333"/>
    </row>
    <row r="170" s="73" customFormat="true" ht="13.5" hidden="false" customHeight="false" outlineLevel="0" collapsed="false">
      <c r="A170" s="98"/>
      <c r="B170" s="387"/>
      <c r="C170" s="387"/>
      <c r="D170" s="387"/>
      <c r="E170" s="387"/>
      <c r="F170" s="387"/>
      <c r="G170" s="387"/>
      <c r="H170" s="333"/>
    </row>
    <row r="171" s="73" customFormat="true" ht="13.5" hidden="false" customHeight="false" outlineLevel="0" collapsed="false">
      <c r="A171" s="98"/>
      <c r="B171" s="387"/>
      <c r="C171" s="387"/>
      <c r="D171" s="387"/>
      <c r="E171" s="387"/>
      <c r="F171" s="387"/>
      <c r="G171" s="387"/>
      <c r="H171" s="333"/>
      <c r="J171" s="194" t="s">
        <v>672</v>
      </c>
    </row>
    <row r="172" s="73" customFormat="true" ht="13.5" hidden="false" customHeight="false" outlineLevel="0" collapsed="false">
      <c r="A172" s="98"/>
      <c r="B172" s="387"/>
      <c r="C172" s="387"/>
      <c r="D172" s="387"/>
      <c r="E172" s="387"/>
      <c r="F172" s="387"/>
      <c r="G172" s="387"/>
      <c r="H172" s="333"/>
      <c r="P172" s="194" t="s">
        <v>673</v>
      </c>
    </row>
    <row r="173" s="73" customFormat="true" ht="13.5" hidden="false" customHeight="false" outlineLevel="0" collapsed="false">
      <c r="A173" s="98"/>
      <c r="B173" s="351"/>
      <c r="C173" s="351"/>
      <c r="D173" s="351"/>
      <c r="E173" s="351"/>
      <c r="F173" s="351"/>
      <c r="G173" s="351"/>
      <c r="H173" s="333"/>
    </row>
    <row r="174" s="73" customFormat="true" ht="13.5" hidden="false" customHeight="false" outlineLevel="0" collapsed="false">
      <c r="A174" s="363"/>
      <c r="B174" s="363"/>
      <c r="C174" s="363"/>
      <c r="D174" s="363"/>
      <c r="E174" s="363"/>
      <c r="F174" s="363"/>
      <c r="G174" s="363"/>
      <c r="H174" s="363"/>
    </row>
    <row r="175" s="73" customFormat="true" ht="13.5" hidden="false" customHeight="false" outlineLevel="0" collapsed="false">
      <c r="A175" s="194" t="s">
        <v>674</v>
      </c>
      <c r="B175" s="363"/>
      <c r="C175" s="363"/>
      <c r="D175" s="363"/>
      <c r="E175" s="363"/>
      <c r="F175" s="363"/>
      <c r="G175" s="363"/>
      <c r="H175" s="363"/>
    </row>
    <row r="176" s="73" customFormat="true" ht="13.5" hidden="false" customHeight="false" outlineLevel="0" collapsed="false">
      <c r="A176" s="363"/>
      <c r="B176" s="363"/>
      <c r="C176" s="363"/>
      <c r="D176" s="363"/>
      <c r="E176" s="363"/>
      <c r="F176" s="363"/>
      <c r="G176" s="363"/>
      <c r="H176" s="363"/>
    </row>
    <row r="177" s="73" customFormat="true" ht="13.5" hidden="false" customHeight="false" outlineLevel="0" collapsed="false">
      <c r="A177" s="360" t="s">
        <v>675</v>
      </c>
      <c r="B177" s="360" t="n">
        <f aca="false">'0.DADES'!D37</f>
        <v>2005</v>
      </c>
      <c r="C177" s="360" t="n">
        <f aca="false">'0.DADES'!E37</f>
        <v>2006</v>
      </c>
      <c r="D177" s="360" t="n">
        <f aca="false">'0.DADES'!F37</f>
        <v>2007</v>
      </c>
      <c r="E177" s="360" t="n">
        <f aca="false">'0.DADES'!G37</f>
        <v>2008</v>
      </c>
      <c r="F177" s="360" t="n">
        <f aca="false">'0.DADES'!H37</f>
        <v>2009</v>
      </c>
      <c r="G177" s="360" t="n">
        <f aca="false">'0.DADES'!I37</f>
        <v>2010</v>
      </c>
      <c r="H177" s="328" t="s">
        <v>582</v>
      </c>
    </row>
    <row r="178" s="73" customFormat="true" ht="13.5" hidden="true" customHeight="false" outlineLevel="0" collapsed="false">
      <c r="A178" s="330" t="s">
        <v>588</v>
      </c>
      <c r="B178" s="381" t="n">
        <f aca="false">'1.EE'!B11</f>
        <v>0</v>
      </c>
      <c r="C178" s="381" t="n">
        <f aca="false">'1.EE'!C11</f>
        <v>0</v>
      </c>
      <c r="D178" s="381" t="n">
        <f aca="false">'1.EE'!D11</f>
        <v>0</v>
      </c>
      <c r="E178" s="381" t="n">
        <f aca="false">'1.EE'!E11</f>
        <v>0</v>
      </c>
      <c r="F178" s="381" t="n">
        <f aca="false">'1.EE'!F11</f>
        <v>0</v>
      </c>
      <c r="G178" s="381" t="n">
        <f aca="false">'1.EE'!G11</f>
        <v>0</v>
      </c>
      <c r="H178" s="332" t="e">
        <f aca="false">(F178-B178)/B178</f>
        <v>#DIV/0!</v>
      </c>
    </row>
    <row r="179" s="73" customFormat="true" ht="13.5" hidden="true" customHeight="false" outlineLevel="0" collapsed="false">
      <c r="A179" s="330" t="s">
        <v>51</v>
      </c>
      <c r="B179" s="381" t="n">
        <f aca="false">'2.GN'!B11</f>
        <v>0</v>
      </c>
      <c r="C179" s="381" t="n">
        <f aca="false">'2.GN'!C11</f>
        <v>0</v>
      </c>
      <c r="D179" s="381" t="n">
        <f aca="false">'2.GN'!D11</f>
        <v>0</v>
      </c>
      <c r="E179" s="381" t="n">
        <f aca="false">'2.GN'!E11</f>
        <v>0</v>
      </c>
      <c r="F179" s="381" t="n">
        <f aca="false">'2.GN'!F11</f>
        <v>0</v>
      </c>
      <c r="G179" s="381" t="n">
        <f aca="false">'2.GN'!G11</f>
        <v>0</v>
      </c>
      <c r="H179" s="332" t="e">
        <f aca="false">(F179-B179)/B179</f>
        <v>#DIV/0!</v>
      </c>
    </row>
    <row r="180" s="73" customFormat="true" ht="13.5" hidden="true" customHeight="false" outlineLevel="0" collapsed="false">
      <c r="A180" s="330" t="s">
        <v>53</v>
      </c>
      <c r="B180" s="381" t="n">
        <f aca="false">'3.GLP'!B11</f>
        <v>0</v>
      </c>
      <c r="C180" s="381" t="n">
        <f aca="false">'3.GLP'!C11</f>
        <v>0</v>
      </c>
      <c r="D180" s="381" t="n">
        <f aca="false">'3.GLP'!D11</f>
        <v>0</v>
      </c>
      <c r="E180" s="381" t="n">
        <f aca="false">'3.GLP'!E11</f>
        <v>0</v>
      </c>
      <c r="F180" s="381" t="n">
        <f aca="false">'3.GLP'!F11</f>
        <v>0</v>
      </c>
      <c r="G180" s="381" t="n">
        <f aca="false">'3.GLP'!G11</f>
        <v>0</v>
      </c>
      <c r="H180" s="332" t="e">
        <f aca="false">(F180-B180)/B180</f>
        <v>#DIV/0!</v>
      </c>
    </row>
    <row r="181" s="73" customFormat="true" ht="13.5" hidden="false" customHeight="false" outlineLevel="0" collapsed="false">
      <c r="A181" s="330" t="s">
        <v>228</v>
      </c>
      <c r="B181" s="381" t="n">
        <f aca="false">'4.CL'!B11</f>
        <v>34836.8314454196</v>
      </c>
      <c r="C181" s="381" t="n">
        <f aca="false">'4.CL'!C11</f>
        <v>35409.5394101154</v>
      </c>
      <c r="D181" s="381" t="n">
        <f aca="false">'4.CL'!D11</f>
        <v>35196.5507080797</v>
      </c>
      <c r="E181" s="381" t="n">
        <f aca="false">'4.CL'!E11</f>
        <v>33553.6409992852</v>
      </c>
      <c r="F181" s="381" t="n">
        <f aca="false">'4.CL'!F11</f>
        <v>31985.7961396805</v>
      </c>
      <c r="G181" s="381" t="n">
        <f aca="false">'4.CL'!G11</f>
        <v>30823.9985122559</v>
      </c>
      <c r="H181" s="332" t="n">
        <f aca="false">(F181-B181)/B181</f>
        <v>-0.0818396848234007</v>
      </c>
    </row>
    <row r="182" s="73" customFormat="true" ht="13.5" hidden="false" customHeight="false" outlineLevel="0" collapsed="false">
      <c r="A182" s="330" t="s">
        <v>143</v>
      </c>
      <c r="B182" s="381" t="n">
        <f aca="false">'4.CL'!B21</f>
        <v>52248.3794139128</v>
      </c>
      <c r="C182" s="381" t="n">
        <f aca="false">'4.CL'!C21</f>
        <v>55964.0569097054</v>
      </c>
      <c r="D182" s="381" t="n">
        <f aca="false">'4.CL'!D21</f>
        <v>60269.4187521418</v>
      </c>
      <c r="E182" s="381" t="n">
        <f aca="false">'4.CL'!E21</f>
        <v>59972.2009999196</v>
      </c>
      <c r="F182" s="381" t="n">
        <f aca="false">'4.CL'!F21</f>
        <v>57330.144326916</v>
      </c>
      <c r="G182" s="381" t="n">
        <f aca="false">'4.CL'!G21</f>
        <v>56140.2784321843</v>
      </c>
      <c r="H182" s="332" t="n">
        <f aca="false">(F182-B182)/B182</f>
        <v>0.0972616752903543</v>
      </c>
    </row>
    <row r="183" s="73" customFormat="true" ht="13.5" hidden="false" customHeight="false" outlineLevel="0" collapsed="false">
      <c r="A183" s="334" t="s">
        <v>272</v>
      </c>
      <c r="B183" s="347" t="n">
        <f aca="false">SUM(B178:B182)</f>
        <v>87085.2108593324</v>
      </c>
      <c r="C183" s="347" t="n">
        <f aca="false">SUM(C178:C182)</f>
        <v>91373.5963198209</v>
      </c>
      <c r="D183" s="347" t="n">
        <f aca="false">SUM(D178:D182)</f>
        <v>95465.9694602215</v>
      </c>
      <c r="E183" s="347" t="n">
        <f aca="false">SUM(E178:E182)</f>
        <v>93525.8419992048</v>
      </c>
      <c r="F183" s="347" t="n">
        <f aca="false">SUM(F178:F182)</f>
        <v>89315.9404665966</v>
      </c>
      <c r="G183" s="347" t="n">
        <f aca="false">SUM(G178:G182)</f>
        <v>86964.2769444402</v>
      </c>
      <c r="H183" s="336" t="n">
        <f aca="false">(F183-B183)/B183</f>
        <v>0.0256154814951004</v>
      </c>
    </row>
    <row r="184" s="73" customFormat="true" ht="13.5" hidden="false" customHeight="false" outlineLevel="0" collapsed="false">
      <c r="A184" s="363"/>
      <c r="B184" s="363"/>
      <c r="C184" s="363"/>
      <c r="D184" s="363"/>
      <c r="E184" s="363"/>
      <c r="F184" s="363"/>
      <c r="G184" s="363"/>
      <c r="H184" s="363"/>
    </row>
    <row r="185" s="73" customFormat="true" ht="13.5" hidden="false" customHeight="false" outlineLevel="0" collapsed="false">
      <c r="A185" s="363"/>
      <c r="B185" s="363"/>
      <c r="C185" s="363"/>
      <c r="D185" s="363"/>
      <c r="E185" s="363"/>
      <c r="F185" s="363"/>
      <c r="G185" s="363"/>
      <c r="H185" s="363"/>
    </row>
    <row r="186" s="73" customFormat="true" ht="13.5" hidden="false" customHeight="false" outlineLevel="0" collapsed="false">
      <c r="A186" s="363"/>
      <c r="B186" s="363"/>
      <c r="C186" s="363"/>
      <c r="D186" s="363"/>
      <c r="E186" s="363"/>
      <c r="F186" s="363"/>
      <c r="G186" s="363"/>
      <c r="H186" s="363"/>
    </row>
    <row r="187" s="73" customFormat="true" ht="13.5" hidden="false" customHeight="false" outlineLevel="0" collapsed="false">
      <c r="A187" s="363"/>
      <c r="B187" s="363"/>
      <c r="C187" s="363"/>
      <c r="D187" s="363"/>
      <c r="E187" s="363"/>
      <c r="F187" s="363"/>
      <c r="G187" s="363"/>
      <c r="H187" s="363"/>
    </row>
    <row r="188" s="73" customFormat="true" ht="13.5" hidden="false" customHeight="false" outlineLevel="0" collapsed="false">
      <c r="A188" s="194" t="s">
        <v>676</v>
      </c>
      <c r="B188" s="363"/>
      <c r="C188" s="363"/>
      <c r="D188" s="363"/>
      <c r="E188" s="363"/>
      <c r="F188" s="363"/>
      <c r="G188" s="363"/>
      <c r="H188" s="363"/>
    </row>
    <row r="189" s="73" customFormat="true" ht="13.5" hidden="false" customHeight="false" outlineLevel="0" collapsed="false">
      <c r="A189" s="363"/>
      <c r="B189" s="363"/>
      <c r="C189" s="363"/>
      <c r="D189" s="363"/>
      <c r="E189" s="363"/>
      <c r="F189" s="363"/>
      <c r="G189" s="363"/>
      <c r="H189" s="363"/>
      <c r="J189" s="194" t="s">
        <v>677</v>
      </c>
      <c r="P189" s="194" t="s">
        <v>678</v>
      </c>
    </row>
    <row r="190" s="73" customFormat="true" ht="13.5" hidden="false" customHeight="false" outlineLevel="0" collapsed="false">
      <c r="A190" s="360" t="s">
        <v>675</v>
      </c>
      <c r="B190" s="360" t="n">
        <f aca="false">'0.DADES'!D37</f>
        <v>2005</v>
      </c>
      <c r="C190" s="360" t="n">
        <f aca="false">'0.DADES'!E37</f>
        <v>2006</v>
      </c>
      <c r="D190" s="360" t="n">
        <f aca="false">'0.DADES'!F37</f>
        <v>2007</v>
      </c>
      <c r="E190" s="360" t="n">
        <f aca="false">'0.DADES'!G37</f>
        <v>2008</v>
      </c>
      <c r="F190" s="360" t="n">
        <f aca="false">'0.DADES'!H37</f>
        <v>2009</v>
      </c>
      <c r="G190" s="360" t="n">
        <f aca="false">'0.DADES'!I37</f>
        <v>2010</v>
      </c>
      <c r="H190" s="328" t="s">
        <v>582</v>
      </c>
    </row>
    <row r="191" s="73" customFormat="true" ht="13.5" hidden="true" customHeight="false" outlineLevel="0" collapsed="false">
      <c r="A191" s="330" t="s">
        <v>588</v>
      </c>
      <c r="B191" s="381" t="n">
        <f aca="false">'1.EE'!B37</f>
        <v>0</v>
      </c>
      <c r="C191" s="381" t="n">
        <f aca="false">'1.EE'!C37</f>
        <v>0</v>
      </c>
      <c r="D191" s="381" t="n">
        <f aca="false">'1.EE'!D37</f>
        <v>0</v>
      </c>
      <c r="E191" s="381" t="n">
        <f aca="false">'1.EE'!E37</f>
        <v>0</v>
      </c>
      <c r="F191" s="381" t="n">
        <f aca="false">'1.EE'!F37</f>
        <v>0</v>
      </c>
      <c r="G191" s="381" t="n">
        <f aca="false">'1.EE'!G37</f>
        <v>0</v>
      </c>
      <c r="H191" s="332" t="e">
        <f aca="false">(F191-B191)/B191</f>
        <v>#DIV/0!</v>
      </c>
    </row>
    <row r="192" s="73" customFormat="true" ht="13.5" hidden="true" customHeight="false" outlineLevel="0" collapsed="false">
      <c r="A192" s="330" t="s">
        <v>51</v>
      </c>
      <c r="B192" s="381" t="n">
        <f aca="false">'2.GN'!B23</f>
        <v>0</v>
      </c>
      <c r="C192" s="381" t="n">
        <f aca="false">'2.GN'!C23</f>
        <v>0</v>
      </c>
      <c r="D192" s="381" t="n">
        <f aca="false">'2.GN'!D23</f>
        <v>0</v>
      </c>
      <c r="E192" s="381" t="n">
        <f aca="false">'2.GN'!E23</f>
        <v>0</v>
      </c>
      <c r="F192" s="381" t="n">
        <f aca="false">'2.GN'!F23</f>
        <v>0</v>
      </c>
      <c r="G192" s="381" t="n">
        <f aca="false">'2.GN'!G23</f>
        <v>0</v>
      </c>
      <c r="H192" s="332" t="e">
        <f aca="false">(F192-B192)/B192</f>
        <v>#DIV/0!</v>
      </c>
    </row>
    <row r="193" s="73" customFormat="true" ht="13.5" hidden="true" customHeight="false" outlineLevel="0" collapsed="false">
      <c r="A193" s="330" t="s">
        <v>53</v>
      </c>
      <c r="B193" s="381" t="n">
        <f aca="false">'3.GLP'!B41</f>
        <v>0</v>
      </c>
      <c r="C193" s="381" t="n">
        <f aca="false">'3.GLP'!C41</f>
        <v>0</v>
      </c>
      <c r="D193" s="381" t="n">
        <f aca="false">'3.GLP'!D41</f>
        <v>0</v>
      </c>
      <c r="E193" s="381" t="n">
        <f aca="false">'3.GLP'!E41</f>
        <v>0</v>
      </c>
      <c r="F193" s="381" t="n">
        <f aca="false">'3.GLP'!F41</f>
        <v>0</v>
      </c>
      <c r="G193" s="381" t="n">
        <f aca="false">'3.GLP'!G41</f>
        <v>0</v>
      </c>
      <c r="H193" s="332" t="e">
        <f aca="false">(F193-B193)/B193</f>
        <v>#DIV/0!</v>
      </c>
    </row>
    <row r="194" s="73" customFormat="true" ht="13.5" hidden="false" customHeight="false" outlineLevel="0" collapsed="false">
      <c r="A194" s="330" t="s">
        <v>228</v>
      </c>
      <c r="B194" s="381" t="n">
        <f aca="false">'4.CL'!B76</f>
        <v>8674.37102990949</v>
      </c>
      <c r="C194" s="381" t="n">
        <f aca="false">'4.CL'!C76</f>
        <v>8816.97531311874</v>
      </c>
      <c r="D194" s="381" t="n">
        <f aca="false">'4.CL'!D76</f>
        <v>8763.94112631185</v>
      </c>
      <c r="E194" s="381" t="n">
        <f aca="false">'4.CL'!E76</f>
        <v>8354.85660882202</v>
      </c>
      <c r="F194" s="381" t="n">
        <f aca="false">'4.CL'!F76</f>
        <v>7964.46323878046</v>
      </c>
      <c r="G194" s="381" t="n">
        <f aca="false">'4.CL'!G76</f>
        <v>7675.17562955173</v>
      </c>
      <c r="H194" s="332" t="n">
        <f aca="false">(F194-B194)/B194</f>
        <v>-0.0818396848234005</v>
      </c>
    </row>
    <row r="195" s="73" customFormat="true" ht="13.5" hidden="false" customHeight="false" outlineLevel="0" collapsed="false">
      <c r="A195" s="330" t="s">
        <v>143</v>
      </c>
      <c r="B195" s="381" t="n">
        <f aca="false">'4.CL'!B86</f>
        <v>13950.3173035147</v>
      </c>
      <c r="C195" s="381" t="n">
        <f aca="false">'4.CL'!C86</f>
        <v>14942.4031948914</v>
      </c>
      <c r="D195" s="381" t="n">
        <f aca="false">'4.CL'!D86</f>
        <v>16091.9348068219</v>
      </c>
      <c r="E195" s="381" t="n">
        <f aca="false">'4.CL'!E86</f>
        <v>16012.5776669785</v>
      </c>
      <c r="F195" s="381" t="n">
        <f aca="false">'4.CL'!F86</f>
        <v>15307.1485352866</v>
      </c>
      <c r="G195" s="381" t="n">
        <f aca="false">'4.CL'!G86</f>
        <v>14989.4543413932</v>
      </c>
      <c r="H195" s="332" t="n">
        <f aca="false">(F195-B195)/B195</f>
        <v>0.0972616752903542</v>
      </c>
    </row>
    <row r="196" s="73" customFormat="true" ht="13.5" hidden="false" customHeight="false" outlineLevel="0" collapsed="false">
      <c r="A196" s="334" t="s">
        <v>272</v>
      </c>
      <c r="B196" s="347" t="n">
        <f aca="false">SUM(B191:B195)</f>
        <v>22624.6883334242</v>
      </c>
      <c r="C196" s="347" t="n">
        <f aca="false">SUM(C191:C195)</f>
        <v>23759.3785080101</v>
      </c>
      <c r="D196" s="347" t="n">
        <f aca="false">SUM(D191:D195)</f>
        <v>24855.8759331337</v>
      </c>
      <c r="E196" s="347" t="n">
        <f aca="false">SUM(E191:E195)</f>
        <v>24367.4342758006</v>
      </c>
      <c r="F196" s="347" t="n">
        <f aca="false">SUM(F191:F195)</f>
        <v>23271.611774067</v>
      </c>
      <c r="G196" s="347" t="n">
        <f aca="false">SUM(G191:G195)</f>
        <v>22664.6299709449</v>
      </c>
      <c r="H196" s="336" t="n">
        <f aca="false">(F196-B196)/B196</f>
        <v>0.0285936951311328</v>
      </c>
    </row>
    <row r="197" s="73" customFormat="true" ht="13.5" hidden="false" customHeight="false" outlineLevel="0" collapsed="false">
      <c r="A197" s="98"/>
      <c r="B197" s="351"/>
      <c r="C197" s="351"/>
      <c r="D197" s="351"/>
      <c r="E197" s="351"/>
      <c r="F197" s="351"/>
      <c r="G197" s="351"/>
      <c r="H197" s="333"/>
    </row>
    <row r="198" s="73" customFormat="true" ht="13.5" hidden="false" customHeight="false" outlineLevel="0" collapsed="false">
      <c r="A198" s="98"/>
      <c r="B198" s="351"/>
      <c r="C198" s="351"/>
      <c r="D198" s="351"/>
      <c r="E198" s="351"/>
      <c r="F198" s="351"/>
      <c r="G198" s="351"/>
      <c r="H198" s="333"/>
    </row>
    <row r="199" s="73" customFormat="true" ht="13.5" hidden="false" customHeight="false" outlineLevel="0" collapsed="false">
      <c r="A199" s="98"/>
      <c r="B199" s="351"/>
      <c r="C199" s="351"/>
      <c r="D199" s="351"/>
      <c r="E199" s="351"/>
      <c r="F199" s="351"/>
      <c r="G199" s="351"/>
      <c r="H199" s="333"/>
    </row>
    <row r="200" s="73" customFormat="true" ht="13.5" hidden="false" customHeight="false" outlineLevel="0" collapsed="false">
      <c r="A200" s="98"/>
      <c r="B200" s="351"/>
      <c r="C200" s="351"/>
      <c r="D200" s="351"/>
      <c r="E200" s="351"/>
      <c r="F200" s="351"/>
      <c r="G200" s="351"/>
      <c r="H200" s="333"/>
    </row>
    <row r="201" s="73" customFormat="true" ht="12" hidden="false" customHeight="true" outlineLevel="0" collapsed="false">
      <c r="A201" s="98"/>
      <c r="B201" s="351"/>
      <c r="C201" s="351"/>
      <c r="D201" s="351"/>
      <c r="E201" s="351"/>
      <c r="F201" s="351"/>
      <c r="G201" s="351"/>
      <c r="H201" s="333"/>
    </row>
    <row r="202" s="73" customFormat="true" ht="13.5" hidden="false" customHeight="false" outlineLevel="0" collapsed="false">
      <c r="A202" s="98"/>
      <c r="B202" s="351"/>
      <c r="C202" s="351"/>
      <c r="D202" s="351"/>
      <c r="E202" s="351"/>
      <c r="F202" s="351"/>
      <c r="G202" s="351"/>
      <c r="H202" s="333"/>
    </row>
    <row r="203" s="73" customFormat="true" ht="13.5" hidden="false" customHeight="false" outlineLevel="0" collapsed="false">
      <c r="A203" s="98"/>
      <c r="B203" s="351"/>
      <c r="C203" s="351"/>
      <c r="D203" s="351"/>
      <c r="E203" s="351"/>
      <c r="F203" s="351"/>
      <c r="G203" s="351"/>
      <c r="H203" s="333"/>
    </row>
    <row r="204" s="73" customFormat="true" ht="13.5" hidden="false" customHeight="false" outlineLevel="0" collapsed="false">
      <c r="A204" s="98"/>
      <c r="B204" s="351"/>
      <c r="C204" s="351"/>
      <c r="D204" s="351"/>
      <c r="E204" s="351"/>
      <c r="F204" s="351"/>
      <c r="G204" s="351"/>
      <c r="H204" s="333"/>
    </row>
    <row r="205" s="73" customFormat="true" ht="13.5" hidden="false" customHeight="false" outlineLevel="0" collapsed="false">
      <c r="A205" s="98"/>
      <c r="B205" s="351"/>
      <c r="C205" s="351"/>
      <c r="D205" s="351"/>
      <c r="E205" s="351"/>
      <c r="F205" s="351"/>
      <c r="G205" s="351"/>
      <c r="H205" s="333"/>
    </row>
    <row r="206" s="73" customFormat="true" ht="13.5" hidden="false" customHeight="false" outlineLevel="0" collapsed="false">
      <c r="A206" s="98"/>
      <c r="B206" s="351"/>
      <c r="C206" s="351"/>
      <c r="D206" s="351"/>
      <c r="E206" s="351"/>
      <c r="F206" s="351"/>
      <c r="G206" s="351"/>
      <c r="H206" s="333"/>
    </row>
    <row r="207" s="73" customFormat="true" ht="13.5" hidden="false" customHeight="false" outlineLevel="0" collapsed="false">
      <c r="A207" s="98"/>
      <c r="B207" s="351"/>
      <c r="C207" s="351"/>
      <c r="D207" s="351"/>
      <c r="E207" s="351"/>
      <c r="F207" s="351"/>
      <c r="G207" s="351"/>
      <c r="H207" s="333"/>
    </row>
    <row r="208" s="73" customFormat="true" ht="13.5" hidden="false" customHeight="false" outlineLevel="0" collapsed="false">
      <c r="A208" s="374" t="s">
        <v>679</v>
      </c>
      <c r="B208" s="351"/>
      <c r="C208" s="351"/>
      <c r="D208" s="351"/>
      <c r="E208" s="351"/>
      <c r="F208" s="351"/>
      <c r="G208" s="351"/>
      <c r="H208" s="333"/>
      <c r="J208" s="374" t="s">
        <v>680</v>
      </c>
    </row>
    <row r="209" s="73" customFormat="true" ht="13.5" hidden="false" customHeight="false" outlineLevel="0" collapsed="false">
      <c r="A209" s="98"/>
      <c r="B209" s="351"/>
      <c r="C209" s="351"/>
      <c r="D209" s="351"/>
      <c r="E209" s="351"/>
      <c r="F209" s="351"/>
      <c r="G209" s="351"/>
      <c r="H209" s="333"/>
    </row>
    <row r="210" s="73" customFormat="true" ht="13.5" hidden="false" customHeight="false" outlineLevel="0" collapsed="false">
      <c r="A210" s="360" t="s">
        <v>681</v>
      </c>
      <c r="B210" s="360" t="n">
        <f aca="false">'0.DADES'!D37</f>
        <v>2005</v>
      </c>
      <c r="C210" s="360" t="n">
        <f aca="false">'0.DADES'!E37</f>
        <v>2006</v>
      </c>
      <c r="D210" s="360" t="n">
        <f aca="false">'0.DADES'!F37</f>
        <v>2007</v>
      </c>
      <c r="E210" s="360" t="n">
        <f aca="false">'0.DADES'!G37</f>
        <v>2008</v>
      </c>
      <c r="F210" s="360" t="n">
        <f aca="false">'0.DADES'!H37</f>
        <v>2009</v>
      </c>
      <c r="G210" s="360" t="n">
        <f aca="false">'0.DADES'!I37</f>
        <v>2010</v>
      </c>
      <c r="H210" s="328" t="s">
        <v>582</v>
      </c>
    </row>
    <row r="211" s="73" customFormat="true" ht="13.5" hidden="false" customHeight="false" outlineLevel="0" collapsed="false">
      <c r="A211" s="330" t="s">
        <v>258</v>
      </c>
      <c r="B211" s="344" t="n">
        <f aca="false">'6.RESIDUS'!B7</f>
        <v>8464.394</v>
      </c>
      <c r="C211" s="344" t="n">
        <f aca="false">'6.RESIDUS'!C7</f>
        <v>9004.465</v>
      </c>
      <c r="D211" s="344" t="n">
        <f aca="false">'6.RESIDUS'!D7</f>
        <v>9927.661</v>
      </c>
      <c r="E211" s="344" t="n">
        <f aca="false">'6.RESIDUS'!E7</f>
        <v>8807.73</v>
      </c>
      <c r="F211" s="344" t="n">
        <f aca="false">'6.RESIDUS'!F7</f>
        <v>7895.4</v>
      </c>
      <c r="G211" s="344" t="n">
        <f aca="false">'6.RESIDUS'!G7</f>
        <v>7915.577</v>
      </c>
      <c r="H211" s="332" t="n">
        <f aca="false">(F211-B211)/B211</f>
        <v>-0.0672220598426775</v>
      </c>
    </row>
    <row r="212" s="73" customFormat="true" ht="13.5" hidden="false" customHeight="false" outlineLevel="0" collapsed="false">
      <c r="A212" s="330" t="s">
        <v>682</v>
      </c>
      <c r="B212" s="344" t="n">
        <f aca="false">'6.RESIDUS'!B8</f>
        <v>0</v>
      </c>
      <c r="C212" s="344" t="n">
        <f aca="false">'6.RESIDUS'!C8</f>
        <v>0</v>
      </c>
      <c r="D212" s="344" t="n">
        <f aca="false">'6.RESIDUS'!D8</f>
        <v>0</v>
      </c>
      <c r="E212" s="344" t="n">
        <f aca="false">'6.RESIDUS'!E8</f>
        <v>0</v>
      </c>
      <c r="F212" s="344" t="n">
        <f aca="false">'6.RESIDUS'!F8</f>
        <v>51.86</v>
      </c>
      <c r="G212" s="344" t="n">
        <f aca="false">'6.RESIDUS'!G8</f>
        <v>44.64</v>
      </c>
      <c r="H212" s="332" t="n">
        <v>1</v>
      </c>
    </row>
    <row r="213" s="73" customFormat="true" ht="13.5" hidden="false" customHeight="false" outlineLevel="0" collapsed="false">
      <c r="A213" s="330" t="s">
        <v>260</v>
      </c>
      <c r="B213" s="344" t="n">
        <f aca="false">'6.RESIDUS'!B9</f>
        <v>234.76</v>
      </c>
      <c r="C213" s="344" t="n">
        <f aca="false">'6.RESIDUS'!C9</f>
        <v>280.375</v>
      </c>
      <c r="D213" s="344" t="n">
        <f aca="false">'6.RESIDUS'!D9</f>
        <v>295.24</v>
      </c>
      <c r="E213" s="344" t="n">
        <f aca="false">'6.RESIDUS'!E9</f>
        <v>311.16</v>
      </c>
      <c r="F213" s="344" t="n">
        <f aca="false">'6.RESIDUS'!F9</f>
        <v>292.518</v>
      </c>
      <c r="G213" s="344" t="n">
        <f aca="false">'6.RESIDUS'!G9</f>
        <v>309.6</v>
      </c>
      <c r="H213" s="332" t="n">
        <f aca="false">(F213-B213)/B213</f>
        <v>0.246029988072925</v>
      </c>
    </row>
    <row r="214" s="73" customFormat="true" ht="13.5" hidden="false" customHeight="false" outlineLevel="0" collapsed="false">
      <c r="A214" s="330" t="s">
        <v>127</v>
      </c>
      <c r="B214" s="344" t="n">
        <f aca="false">'6.RESIDUS'!B10</f>
        <v>339.78</v>
      </c>
      <c r="C214" s="344" t="n">
        <f aca="false">'6.RESIDUS'!C10</f>
        <v>404.64</v>
      </c>
      <c r="D214" s="344" t="n">
        <f aca="false">'6.RESIDUS'!D10</f>
        <v>397.5</v>
      </c>
      <c r="E214" s="344" t="n">
        <f aca="false">'6.RESIDUS'!E10</f>
        <v>435.74</v>
      </c>
      <c r="F214" s="344" t="n">
        <f aca="false">'6.RESIDUS'!F10</f>
        <v>443.38</v>
      </c>
      <c r="G214" s="344" t="n">
        <f aca="false">'6.RESIDUS'!G10</f>
        <v>417.051</v>
      </c>
      <c r="H214" s="332" t="n">
        <f aca="false">(F214-B214)/B214</f>
        <v>0.304903172641121</v>
      </c>
    </row>
    <row r="215" s="73" customFormat="true" ht="13.5" hidden="false" customHeight="false" outlineLevel="0" collapsed="false">
      <c r="A215" s="330" t="s">
        <v>261</v>
      </c>
      <c r="B215" s="344" t="n">
        <f aca="false">'6.RESIDUS'!B11</f>
        <v>44.96</v>
      </c>
      <c r="C215" s="344" t="n">
        <f aca="false">'6.RESIDUS'!C11</f>
        <v>65.42</v>
      </c>
      <c r="D215" s="344" t="n">
        <f aca="false">'6.RESIDUS'!D11</f>
        <v>75.78</v>
      </c>
      <c r="E215" s="344" t="n">
        <f aca="false">'6.RESIDUS'!E11</f>
        <v>93.92</v>
      </c>
      <c r="F215" s="344" t="n">
        <f aca="false">'6.RESIDUS'!F11</f>
        <v>121.36</v>
      </c>
      <c r="G215" s="344" t="n">
        <f aca="false">'6.RESIDUS'!G11</f>
        <v>125.691</v>
      </c>
      <c r="H215" s="332" t="n">
        <f aca="false">(F215-B215)/B215</f>
        <v>1.69928825622776</v>
      </c>
    </row>
    <row r="216" s="73" customFormat="true" ht="13.5" hidden="false" customHeight="false" outlineLevel="0" collapsed="false">
      <c r="A216" s="334" t="s">
        <v>176</v>
      </c>
      <c r="B216" s="343" t="n">
        <f aca="false">SUM(B211:B215)</f>
        <v>9083.894</v>
      </c>
      <c r="C216" s="343" t="n">
        <f aca="false">SUM(C211:C215)</f>
        <v>9754.9</v>
      </c>
      <c r="D216" s="343" t="n">
        <f aca="false">SUM(D211:D215)</f>
        <v>10696.181</v>
      </c>
      <c r="E216" s="343" t="n">
        <f aca="false">SUM(E211:E215)</f>
        <v>9648.55</v>
      </c>
      <c r="F216" s="343" t="n">
        <f aca="false">SUM(F211:F215)</f>
        <v>8804.518</v>
      </c>
      <c r="G216" s="343" t="n">
        <f aca="false">SUM(G211:G215)</f>
        <v>8812.559</v>
      </c>
      <c r="H216" s="336" t="n">
        <f aca="false">(F216-B216)/B216</f>
        <v>-0.030755092474659</v>
      </c>
    </row>
    <row r="217" s="73" customFormat="true" ht="13.5" hidden="false" customHeight="false" outlineLevel="0" collapsed="false">
      <c r="A217" s="390"/>
      <c r="B217" s="391"/>
      <c r="C217" s="391"/>
      <c r="D217" s="391"/>
      <c r="E217" s="391"/>
      <c r="F217" s="391"/>
      <c r="G217" s="391"/>
      <c r="H217" s="105"/>
    </row>
    <row r="218" s="73" customFormat="true" ht="13.5" hidden="false" customHeight="false" outlineLevel="0" collapsed="false">
      <c r="A218" s="390"/>
      <c r="B218" s="391"/>
      <c r="C218" s="391"/>
      <c r="D218" s="391"/>
      <c r="E218" s="391"/>
      <c r="F218" s="391"/>
      <c r="G218" s="391"/>
      <c r="H218" s="105"/>
    </row>
    <row r="219" s="73" customFormat="true" ht="13.5" hidden="false" customHeight="false" outlineLevel="0" collapsed="false">
      <c r="A219" s="390"/>
      <c r="B219" s="391"/>
      <c r="C219" s="391"/>
      <c r="D219" s="391"/>
      <c r="E219" s="391"/>
      <c r="F219" s="391"/>
      <c r="G219" s="391"/>
      <c r="H219" s="105"/>
    </row>
    <row r="220" s="73" customFormat="true" ht="13.5" hidden="false" customHeight="false" outlineLevel="0" collapsed="false">
      <c r="A220" s="363"/>
      <c r="B220" s="363"/>
      <c r="C220" s="363"/>
      <c r="D220" s="363"/>
      <c r="E220" s="363"/>
      <c r="F220" s="363"/>
      <c r="G220" s="363"/>
      <c r="H220" s="363"/>
    </row>
    <row r="221" s="73" customFormat="true" ht="13.5" hidden="false" customHeight="false" outlineLevel="0" collapsed="false">
      <c r="A221" s="363"/>
      <c r="B221" s="363"/>
      <c r="C221" s="363"/>
      <c r="D221" s="363"/>
      <c r="E221" s="363"/>
      <c r="F221" s="363"/>
      <c r="G221" s="363"/>
      <c r="H221" s="363"/>
      <c r="J221" s="194"/>
    </row>
    <row r="222" s="73" customFormat="true" ht="13.5" hidden="false" customHeight="false" outlineLevel="0" collapsed="false">
      <c r="A222" s="363"/>
      <c r="B222" s="363"/>
      <c r="C222" s="363"/>
      <c r="D222" s="363"/>
      <c r="E222" s="363"/>
      <c r="F222" s="363"/>
      <c r="G222" s="363"/>
      <c r="H222" s="363"/>
    </row>
    <row r="223" s="73" customFormat="true" ht="13.5" hidden="false" customHeight="false" outlineLevel="0" collapsed="false">
      <c r="A223" s="363"/>
      <c r="B223" s="363"/>
      <c r="C223" s="363"/>
      <c r="D223" s="363"/>
      <c r="E223" s="363"/>
      <c r="F223" s="363"/>
      <c r="G223" s="363"/>
      <c r="H223" s="363"/>
      <c r="J223" s="352" t="s">
        <v>683</v>
      </c>
      <c r="Q223" s="352" t="s">
        <v>684</v>
      </c>
    </row>
    <row r="224" s="73" customFormat="true" ht="13.5" hidden="false" customHeight="false" outlineLevel="0" collapsed="false">
      <c r="A224" s="363"/>
      <c r="B224" s="363"/>
      <c r="C224" s="363"/>
      <c r="D224" s="363"/>
      <c r="E224" s="363"/>
      <c r="F224" s="363"/>
      <c r="G224" s="363"/>
      <c r="H224" s="363"/>
    </row>
    <row r="225" s="73" customFormat="true" ht="13.5" hidden="false" customHeight="false" outlineLevel="0" collapsed="false">
      <c r="A225" s="194" t="s">
        <v>685</v>
      </c>
      <c r="B225" s="363"/>
      <c r="C225" s="363"/>
      <c r="D225" s="363"/>
      <c r="E225" s="363"/>
      <c r="F225" s="363"/>
      <c r="G225" s="363"/>
      <c r="H225" s="363"/>
    </row>
    <row r="226" s="73" customFormat="true" ht="13.5" hidden="false" customHeight="false" outlineLevel="0" collapsed="false">
      <c r="A226" s="363"/>
      <c r="B226" s="363"/>
      <c r="C226" s="363"/>
      <c r="D226" s="363"/>
      <c r="E226" s="363"/>
      <c r="F226" s="363"/>
      <c r="G226" s="363"/>
      <c r="H226" s="363"/>
    </row>
    <row r="227" s="73" customFormat="true" ht="13.5" hidden="false" customHeight="false" outlineLevel="0" collapsed="false">
      <c r="A227" s="360" t="s">
        <v>681</v>
      </c>
      <c r="B227" s="360" t="n">
        <f aca="false">'0.DADES'!D37</f>
        <v>2005</v>
      </c>
      <c r="C227" s="360" t="n">
        <f aca="false">'0.DADES'!E37</f>
        <v>2006</v>
      </c>
      <c r="D227" s="360" t="n">
        <f aca="false">'0.DADES'!F37</f>
        <v>2007</v>
      </c>
      <c r="E227" s="360" t="n">
        <f aca="false">'0.DADES'!G37</f>
        <v>2008</v>
      </c>
      <c r="F227" s="360" t="n">
        <f aca="false">'0.DADES'!H37</f>
        <v>2009</v>
      </c>
      <c r="G227" s="360" t="n">
        <f aca="false">'0.DADES'!I37</f>
        <v>2010</v>
      </c>
      <c r="H227" s="328" t="s">
        <v>582</v>
      </c>
    </row>
    <row r="228" s="73" customFormat="true" ht="13.5" hidden="false" customHeight="false" outlineLevel="0" collapsed="false">
      <c r="A228" s="392" t="str">
        <f aca="false">'6.RESIDUS'!A39</f>
        <v>Rebuig</v>
      </c>
      <c r="B228" s="381" t="n">
        <f aca="false">'6.RESIDUS'!B39</f>
        <v>9048.437186</v>
      </c>
      <c r="C228" s="381" t="n">
        <f aca="false">'6.RESIDUS'!C39</f>
        <v>9625.773085</v>
      </c>
      <c r="D228" s="381" t="n">
        <f aca="false">'6.RESIDUS'!D39</f>
        <v>10612.669609</v>
      </c>
      <c r="E228" s="381" t="n">
        <f aca="false">'6.RESIDUS'!E39</f>
        <v>9415.46337</v>
      </c>
      <c r="F228" s="381" t="n">
        <f aca="false">'6.RESIDUS'!F39</f>
        <v>8440.1826</v>
      </c>
      <c r="G228" s="381" t="n">
        <f aca="false">'6.RESIDUS'!G39</f>
        <v>8461.751813</v>
      </c>
      <c r="H228" s="332" t="n">
        <f aca="false">(F228-B228)/B228</f>
        <v>-0.0672220598426774</v>
      </c>
    </row>
    <row r="229" s="73" customFormat="true" ht="13.5" hidden="false" customHeight="false" outlineLevel="0" collapsed="false">
      <c r="A229" s="330" t="s">
        <v>682</v>
      </c>
      <c r="B229" s="381" t="n">
        <f aca="false">'6.RESIDUS'!B40</f>
        <v>0</v>
      </c>
      <c r="C229" s="381" t="n">
        <f aca="false">'6.RESIDUS'!C40</f>
        <v>0</v>
      </c>
      <c r="D229" s="381" t="n">
        <f aca="false">'6.RESIDUS'!D40</f>
        <v>0</v>
      </c>
      <c r="E229" s="381" t="n">
        <f aca="false">'6.RESIDUS'!E40</f>
        <v>0</v>
      </c>
      <c r="F229" s="381" t="n">
        <f aca="false">'6.RESIDUS'!F40</f>
        <v>16.5952</v>
      </c>
      <c r="G229" s="381" t="n">
        <f aca="false">'6.RESIDUS'!G40</f>
        <v>14.2848</v>
      </c>
      <c r="H229" s="332" t="n">
        <v>1</v>
      </c>
    </row>
    <row r="230" s="73" customFormat="true" ht="13.5" hidden="false" customHeight="false" outlineLevel="0" collapsed="false">
      <c r="A230" s="392" t="str">
        <f aca="false">'6.RESIDUS'!A41</f>
        <v>Paper-cartró</v>
      </c>
      <c r="B230" s="381" t="n">
        <f aca="false">'6.RESIDUS'!B41</f>
        <v>-62.2114</v>
      </c>
      <c r="C230" s="381" t="n">
        <f aca="false">'6.RESIDUS'!C41</f>
        <v>-74.299375</v>
      </c>
      <c r="D230" s="381" t="n">
        <f aca="false">'6.RESIDUS'!D41</f>
        <v>-78.2386</v>
      </c>
      <c r="E230" s="381" t="n">
        <f aca="false">'6.RESIDUS'!E41</f>
        <v>-82.4574</v>
      </c>
      <c r="F230" s="381" t="n">
        <f aca="false">'6.RESIDUS'!F41</f>
        <v>-77.51727</v>
      </c>
      <c r="G230" s="381" t="n">
        <f aca="false">'6.RESIDUS'!G41</f>
        <v>-82.044</v>
      </c>
      <c r="H230" s="332" t="n">
        <f aca="false">(F230-B230)/B230</f>
        <v>0.246029988072926</v>
      </c>
    </row>
    <row r="231" s="73" customFormat="true" ht="13.5" hidden="false" customHeight="false" outlineLevel="0" collapsed="false">
      <c r="A231" s="392" t="str">
        <f aca="false">'6.RESIDUS'!A42</f>
        <v>Vidre</v>
      </c>
      <c r="B231" s="369" t="n">
        <f aca="false">'6.RESIDUS'!B42</f>
        <v>-226.97304</v>
      </c>
      <c r="C231" s="369" t="n">
        <f aca="false">'6.RESIDUS'!C42</f>
        <v>-270.29952</v>
      </c>
      <c r="D231" s="369" t="n">
        <f aca="false">'6.RESIDUS'!D42</f>
        <v>-265.53</v>
      </c>
      <c r="E231" s="369" t="n">
        <f aca="false">'6.RESIDUS'!E42</f>
        <v>-291.07432</v>
      </c>
      <c r="F231" s="369" t="n">
        <f aca="false">'6.RESIDUS'!F42</f>
        <v>-296.17784</v>
      </c>
      <c r="G231" s="369" t="n">
        <f aca="false">'6.RESIDUS'!G42</f>
        <v>-278.590068</v>
      </c>
      <c r="H231" s="365" t="n">
        <f aca="false">(F231-B231)/B231</f>
        <v>0.304903172641121</v>
      </c>
    </row>
    <row r="232" s="73" customFormat="true" ht="13.5" hidden="false" customHeight="false" outlineLevel="0" collapsed="false">
      <c r="A232" s="392" t="s">
        <v>261</v>
      </c>
      <c r="B232" s="369" t="n">
        <f aca="false">'6.RESIDUS'!B43+'6.RESIDUS'!B44+'6.RESIDUS'!B45+'6.RESIDUS'!B46+'6.RESIDUS'!B47</f>
        <v>-29.9155752539429</v>
      </c>
      <c r="C232" s="369" t="n">
        <f aca="false">'6.RESIDUS'!C43+'6.RESIDUS'!C44+'6.RESIDUS'!C45+'6.RESIDUS'!C46+'6.RESIDUS'!C47</f>
        <v>-42.4593581241998</v>
      </c>
      <c r="D232" s="369" t="n">
        <f aca="false">'6.RESIDUS'!D43+'6.RESIDUS'!D44+'6.RESIDUS'!D45+'6.RESIDUS'!D46+'6.RESIDUS'!D47</f>
        <v>-50.0788613410233</v>
      </c>
      <c r="E232" s="369" t="n">
        <f aca="false">'6.RESIDUS'!E43+'6.RESIDUS'!E44+'6.RESIDUS'!E45+'6.RESIDUS'!E46+'6.RESIDUS'!E47</f>
        <v>-60.9138557025078</v>
      </c>
      <c r="F232" s="369" t="n">
        <f aca="false">'6.RESIDUS'!F43+'6.RESIDUS'!F44+'6.RESIDUS'!F45+'6.RESIDUS'!F46+'6.RESIDUS'!F47</f>
        <v>-75.6517825629408</v>
      </c>
      <c r="G232" s="369" t="n">
        <f aca="false">'6.RESIDUS'!G43+'6.RESIDUS'!G44+'6.RESIDUS'!G45+'6.RESIDUS'!G46+'6.RESIDUS'!G47</f>
        <v>-81.4817563393378</v>
      </c>
      <c r="H232" s="365" t="n">
        <f aca="false">(F232-B232)/B232</f>
        <v>1.52884264871255</v>
      </c>
    </row>
    <row r="233" s="73" customFormat="true" ht="13.5" hidden="false" customHeight="false" outlineLevel="0" collapsed="false">
      <c r="A233" s="334" t="s">
        <v>272</v>
      </c>
      <c r="B233" s="370" t="n">
        <f aca="false">SUM(B228:B232)</f>
        <v>8729.33717074606</v>
      </c>
      <c r="C233" s="370" t="n">
        <f aca="false">SUM(C228:C232)</f>
        <v>9238.7148318758</v>
      </c>
      <c r="D233" s="370" t="n">
        <f aca="false">SUM(D228:D232)</f>
        <v>10218.822147659</v>
      </c>
      <c r="E233" s="370" t="n">
        <f aca="false">SUM(E228:E232)</f>
        <v>8981.01779429749</v>
      </c>
      <c r="F233" s="370" t="n">
        <f aca="false">SUM(F228:F232)</f>
        <v>8007.43090743706</v>
      </c>
      <c r="G233" s="370" t="n">
        <f aca="false">SUM(G228:G232)</f>
        <v>8033.92078866066</v>
      </c>
      <c r="H233" s="367" t="n">
        <f aca="false">(F233-B233)/B233</f>
        <v>-0.0826988635206192</v>
      </c>
    </row>
    <row r="234" s="73" customFormat="true" ht="13.5" hidden="false" customHeight="false" outlineLevel="0" collapsed="false">
      <c r="A234" s="98"/>
      <c r="B234" s="351"/>
      <c r="C234" s="351"/>
      <c r="D234" s="351"/>
      <c r="E234" s="351"/>
      <c r="F234" s="351"/>
      <c r="G234" s="351"/>
      <c r="H234" s="333"/>
    </row>
    <row r="235" s="73" customFormat="true" ht="13.5" hidden="false" customHeight="false" outlineLevel="0" collapsed="false">
      <c r="A235" s="98"/>
      <c r="B235" s="351"/>
      <c r="C235" s="351"/>
      <c r="D235" s="351"/>
      <c r="E235" s="351"/>
      <c r="F235" s="351"/>
      <c r="G235" s="351"/>
      <c r="H235" s="333"/>
    </row>
    <row r="236" s="73" customFormat="true" ht="13.5" hidden="false" customHeight="false" outlineLevel="0" collapsed="false">
      <c r="A236" s="98"/>
      <c r="B236" s="351"/>
      <c r="C236" s="351"/>
      <c r="D236" s="351"/>
      <c r="E236" s="351"/>
      <c r="F236" s="351"/>
      <c r="G236" s="351"/>
      <c r="H236" s="333"/>
    </row>
    <row r="237" s="73" customFormat="true" ht="13.5" hidden="false" customHeight="false" outlineLevel="0" collapsed="false">
      <c r="A237" s="98"/>
      <c r="B237" s="351"/>
      <c r="C237" s="351"/>
      <c r="D237" s="351"/>
      <c r="E237" s="351"/>
      <c r="F237" s="351"/>
      <c r="G237" s="351"/>
      <c r="H237" s="333"/>
    </row>
    <row r="238" s="73" customFormat="true" ht="13.5" hidden="false" customHeight="false" outlineLevel="0" collapsed="false">
      <c r="A238" s="98"/>
      <c r="B238" s="351"/>
      <c r="C238" s="351"/>
      <c r="D238" s="351"/>
      <c r="E238" s="351"/>
      <c r="F238" s="351"/>
      <c r="G238" s="351"/>
      <c r="H238" s="333"/>
    </row>
    <row r="239" s="73" customFormat="true" ht="13.5" hidden="false" customHeight="false" outlineLevel="0" collapsed="false">
      <c r="A239" s="98"/>
      <c r="B239" s="351"/>
      <c r="C239" s="351"/>
      <c r="D239" s="351"/>
      <c r="E239" s="351"/>
      <c r="F239" s="351"/>
      <c r="G239" s="351"/>
      <c r="H239" s="333"/>
      <c r="J239" s="374" t="s">
        <v>686</v>
      </c>
    </row>
    <row r="240" s="73" customFormat="true" ht="13.5" hidden="false" customHeight="false" outlineLevel="0" collapsed="false">
      <c r="A240" s="374" t="s">
        <v>687</v>
      </c>
      <c r="B240" s="351"/>
      <c r="C240" s="351"/>
      <c r="D240" s="351"/>
      <c r="E240" s="351"/>
      <c r="F240" s="351"/>
      <c r="G240" s="351"/>
      <c r="H240" s="333"/>
    </row>
    <row r="241" s="73" customFormat="true" ht="13.5" hidden="false" customHeight="false" outlineLevel="0" collapsed="false">
      <c r="A241" s="98"/>
      <c r="B241" s="351"/>
      <c r="C241" s="351"/>
      <c r="D241" s="351"/>
      <c r="E241" s="351"/>
      <c r="F241" s="351"/>
      <c r="G241" s="351"/>
      <c r="H241" s="333"/>
    </row>
    <row r="242" s="73" customFormat="true" ht="13.5" hidden="false" customHeight="false" outlineLevel="0" collapsed="false">
      <c r="A242" s="360" t="s">
        <v>688</v>
      </c>
      <c r="B242" s="360" t="n">
        <f aca="false">'0.DADES'!D37</f>
        <v>2005</v>
      </c>
      <c r="C242" s="360" t="n">
        <f aca="false">'0.DADES'!E37</f>
        <v>2006</v>
      </c>
      <c r="D242" s="360" t="n">
        <f aca="false">'0.DADES'!F37</f>
        <v>2007</v>
      </c>
      <c r="E242" s="360" t="n">
        <f aca="false">'0.DADES'!G37</f>
        <v>2008</v>
      </c>
      <c r="F242" s="360" t="n">
        <f aca="false">'0.DADES'!H37</f>
        <v>2009</v>
      </c>
      <c r="G242" s="360" t="n">
        <f aca="false">'0.DADES'!I37</f>
        <v>2010</v>
      </c>
      <c r="H242" s="328" t="s">
        <v>582</v>
      </c>
    </row>
    <row r="243" s="73" customFormat="true" ht="24.75" hidden="false" customHeight="true" outlineLevel="0" collapsed="false">
      <c r="A243" s="392" t="str">
        <f aca="false">'7.AIGUA'!A8</f>
        <v>Aigua extreta</v>
      </c>
      <c r="B243" s="320" t="n">
        <f aca="false">'7.AIGUA'!B8</f>
        <v>1211031</v>
      </c>
      <c r="C243" s="320" t="n">
        <f aca="false">'7.AIGUA'!C8</f>
        <v>1342384</v>
      </c>
      <c r="D243" s="320" t="n">
        <f aca="false">'7.AIGUA'!D8</f>
        <v>1359954</v>
      </c>
      <c r="E243" s="320" t="n">
        <f aca="false">'7.AIGUA'!E8</f>
        <v>1436430</v>
      </c>
      <c r="F243" s="320" t="n">
        <f aca="false">'7.AIGUA'!F8</f>
        <v>1435784</v>
      </c>
      <c r="G243" s="320" t="n">
        <f aca="false">'7.AIGUA'!G8</f>
        <v>1429273</v>
      </c>
      <c r="H243" s="332" t="n">
        <f aca="false">(F243-B243)/B243</f>
        <v>0.185588147619673</v>
      </c>
    </row>
    <row r="244" s="73" customFormat="true" ht="13.5" hidden="false" customHeight="false" outlineLevel="0" collapsed="false">
      <c r="A244" s="392" t="str">
        <f aca="false">'7.AIGUA'!A9</f>
        <v>Aigua facturada</v>
      </c>
      <c r="B244" s="320" t="n">
        <f aca="false">'7.AIGUA'!B9</f>
        <v>932324</v>
      </c>
      <c r="C244" s="320" t="n">
        <f aca="false">'7.AIGUA'!C9</f>
        <v>971304</v>
      </c>
      <c r="D244" s="320" t="n">
        <f aca="false">'7.AIGUA'!D9</f>
        <v>970410</v>
      </c>
      <c r="E244" s="320" t="n">
        <f aca="false">'7.AIGUA'!E9</f>
        <v>973736</v>
      </c>
      <c r="F244" s="320" t="n">
        <f aca="false">'7.AIGUA'!F9</f>
        <v>972584</v>
      </c>
      <c r="G244" s="320" t="n">
        <f aca="false">'7.AIGUA'!G9</f>
        <v>968173</v>
      </c>
      <c r="H244" s="332" t="n">
        <f aca="false">(F244-B244)/B244</f>
        <v>0.0431824129808951</v>
      </c>
    </row>
    <row r="245" s="73" customFormat="true" ht="24.75" hidden="false" customHeight="true" outlineLevel="0" collapsed="false">
      <c r="A245" s="392" t="str">
        <f aca="false">'7.AIGUA'!A10</f>
        <v>Pèrdues</v>
      </c>
      <c r="B245" s="320" t="n">
        <f aca="false">'7.AIGUA'!B10</f>
        <v>278707</v>
      </c>
      <c r="C245" s="320" t="n">
        <f aca="false">'7.AIGUA'!C10</f>
        <v>371080</v>
      </c>
      <c r="D245" s="320" t="n">
        <f aca="false">'7.AIGUA'!D10</f>
        <v>389544</v>
      </c>
      <c r="E245" s="320" t="n">
        <f aca="false">'7.AIGUA'!E10</f>
        <v>462694</v>
      </c>
      <c r="F245" s="320" t="n">
        <f aca="false">'7.AIGUA'!F10</f>
        <v>463200</v>
      </c>
      <c r="G245" s="320" t="n">
        <f aca="false">'7.AIGUA'!G10</f>
        <v>461100</v>
      </c>
      <c r="H245" s="332" t="n">
        <f aca="false">(F245-B245)/B245</f>
        <v>0.661960410036346</v>
      </c>
    </row>
    <row r="246" s="73" customFormat="true" ht="24.75" hidden="false" customHeight="true" outlineLevel="0" collapsed="false">
      <c r="A246" s="392" t="str">
        <f aca="false">'7.AIGUA'!A11</f>
        <v>Pèrdues (%)</v>
      </c>
      <c r="B246" s="393" t="n">
        <f aca="false">'7.AIGUA'!B11</f>
        <v>0.230140268911366</v>
      </c>
      <c r="C246" s="393" t="n">
        <f aca="false">'7.AIGUA'!C11</f>
        <v>0.276433568934075</v>
      </c>
      <c r="D246" s="393" t="n">
        <f aca="false">'7.AIGUA'!D11</f>
        <v>0.286439100146034</v>
      </c>
      <c r="E246" s="393" t="n">
        <f aca="false">'7.AIGUA'!E11</f>
        <v>0.322113851701789</v>
      </c>
      <c r="F246" s="393" t="n">
        <f aca="false">'7.AIGUA'!F11</f>
        <v>0.322611200570559</v>
      </c>
      <c r="G246" s="393" t="n">
        <f aca="false">'7.AIGUA'!G11</f>
        <v>0.322611565460202</v>
      </c>
      <c r="H246" s="332" t="n">
        <f aca="false">(F246-B246)/B246</f>
        <v>0.401802483748758</v>
      </c>
    </row>
    <row r="247" s="73" customFormat="true" ht="13.5" hidden="false" customHeight="false" outlineLevel="0" collapsed="false">
      <c r="A247" s="98"/>
      <c r="B247" s="351"/>
      <c r="C247" s="351"/>
      <c r="D247" s="351"/>
      <c r="E247" s="351"/>
      <c r="F247" s="351"/>
      <c r="G247" s="351"/>
      <c r="H247" s="333"/>
    </row>
    <row r="248" s="73" customFormat="true" ht="13.5" hidden="false" customHeight="false" outlineLevel="0" collapsed="false">
      <c r="A248" s="98"/>
      <c r="B248" s="351"/>
      <c r="C248" s="351"/>
      <c r="D248" s="351"/>
      <c r="E248" s="351"/>
      <c r="F248" s="351"/>
      <c r="G248" s="351"/>
      <c r="H248" s="333"/>
    </row>
    <row r="249" s="73" customFormat="true" ht="13.5" hidden="false" customHeight="false" outlineLevel="0" collapsed="false">
      <c r="A249" s="98"/>
      <c r="B249" s="351"/>
      <c r="C249" s="351"/>
      <c r="D249" s="351"/>
      <c r="E249" s="351"/>
      <c r="F249" s="351"/>
      <c r="G249" s="351"/>
      <c r="H249" s="333"/>
    </row>
    <row r="250" s="73" customFormat="true" ht="13.5" hidden="false" customHeight="false" outlineLevel="0" collapsed="false">
      <c r="A250" s="98"/>
      <c r="B250" s="351"/>
      <c r="C250" s="351"/>
      <c r="D250" s="351"/>
      <c r="E250" s="351"/>
      <c r="F250" s="351"/>
      <c r="G250" s="351"/>
      <c r="H250" s="333"/>
    </row>
    <row r="251" s="73" customFormat="true" ht="13.5" hidden="false" customHeight="false" outlineLevel="0" collapsed="false">
      <c r="A251" s="374" t="s">
        <v>689</v>
      </c>
      <c r="B251" s="351"/>
      <c r="C251" s="351"/>
      <c r="D251" s="351"/>
      <c r="E251" s="351"/>
      <c r="F251" s="351"/>
      <c r="G251" s="351"/>
      <c r="H251" s="333"/>
    </row>
    <row r="252" s="73" customFormat="true" ht="13.5" hidden="false" customHeight="false" outlineLevel="0" collapsed="false">
      <c r="A252" s="98"/>
      <c r="B252" s="351"/>
      <c r="C252" s="351"/>
      <c r="D252" s="351"/>
      <c r="E252" s="351"/>
      <c r="F252" s="351"/>
      <c r="G252" s="351"/>
      <c r="H252" s="333"/>
    </row>
    <row r="253" s="73" customFormat="true" ht="13.5" hidden="false" customHeight="false" outlineLevel="0" collapsed="false">
      <c r="A253" s="360" t="s">
        <v>688</v>
      </c>
      <c r="B253" s="360" t="n">
        <v>2005</v>
      </c>
      <c r="C253" s="360" t="n">
        <v>2006</v>
      </c>
      <c r="D253" s="360" t="n">
        <v>2007</v>
      </c>
      <c r="E253" s="360" t="n">
        <v>2008</v>
      </c>
      <c r="F253" s="360" t="n">
        <v>2009</v>
      </c>
      <c r="G253" s="360" t="n">
        <v>2010</v>
      </c>
      <c r="H253" s="328" t="s">
        <v>582</v>
      </c>
      <c r="J253" s="374" t="s">
        <v>690</v>
      </c>
    </row>
    <row r="254" s="73" customFormat="true" ht="13.5" hidden="false" customHeight="false" outlineLevel="0" collapsed="false">
      <c r="A254" s="392" t="s">
        <v>691</v>
      </c>
      <c r="B254" s="386" t="n">
        <f aca="false">'7.AIGUA'!B30</f>
        <v>675231</v>
      </c>
      <c r="C254" s="386" t="n">
        <f aca="false">'7.AIGUA'!C30</f>
        <v>728621</v>
      </c>
      <c r="D254" s="386" t="n">
        <f aca="false">'7.AIGUA'!D30</f>
        <v>726673</v>
      </c>
      <c r="E254" s="386" t="n">
        <f aca="false">'7.AIGUA'!E30</f>
        <v>764090</v>
      </c>
      <c r="F254" s="386" t="n">
        <f aca="false">'7.AIGUA'!F30</f>
        <v>800072</v>
      </c>
      <c r="G254" s="386" t="n">
        <f aca="false">'7.AIGUA'!G30</f>
        <v>1006811</v>
      </c>
      <c r="H254" s="332" t="n">
        <f aca="false">(F254-B254)/B254</f>
        <v>0.184886357409538</v>
      </c>
    </row>
    <row r="255" s="73" customFormat="true" ht="13.5" hidden="false" customHeight="false" outlineLevel="0" collapsed="false">
      <c r="A255" s="98"/>
      <c r="B255" s="351"/>
      <c r="C255" s="351"/>
      <c r="D255" s="351"/>
      <c r="E255" s="351"/>
      <c r="F255" s="351"/>
      <c r="G255" s="351"/>
      <c r="H255" s="333"/>
    </row>
    <row r="256" s="73" customFormat="true" ht="13.5" hidden="false" customHeight="false" outlineLevel="0" collapsed="false">
      <c r="A256" s="98"/>
      <c r="B256" s="351"/>
      <c r="C256" s="351"/>
      <c r="D256" s="351"/>
      <c r="E256" s="351"/>
      <c r="F256" s="351"/>
      <c r="G256" s="351"/>
      <c r="H256" s="333"/>
    </row>
    <row r="257" s="73" customFormat="true" ht="13.5" hidden="false" customHeight="false" outlineLevel="0" collapsed="false">
      <c r="A257" s="98"/>
      <c r="B257" s="351"/>
      <c r="C257" s="351"/>
      <c r="D257" s="351"/>
      <c r="E257" s="351"/>
      <c r="F257" s="351"/>
      <c r="G257" s="351"/>
      <c r="H257" s="333"/>
    </row>
    <row r="258" s="73" customFormat="true" ht="13.5" hidden="false" customHeight="false" outlineLevel="0" collapsed="false">
      <c r="A258" s="98"/>
      <c r="B258" s="351"/>
      <c r="C258" s="351"/>
      <c r="D258" s="351"/>
      <c r="E258" s="351"/>
      <c r="F258" s="351"/>
      <c r="G258" s="351"/>
      <c r="H258" s="333"/>
    </row>
    <row r="259" s="73" customFormat="true" ht="13.5" hidden="false" customHeight="false" outlineLevel="0" collapsed="false">
      <c r="A259" s="98"/>
      <c r="B259" s="351"/>
      <c r="C259" s="351"/>
      <c r="D259" s="351"/>
      <c r="E259" s="351"/>
      <c r="F259" s="351"/>
      <c r="G259" s="351"/>
      <c r="H259" s="333"/>
    </row>
    <row r="260" s="73" customFormat="true" ht="13.5" hidden="false" customHeight="false" outlineLevel="0" collapsed="false">
      <c r="A260" s="98"/>
      <c r="B260" s="351"/>
      <c r="C260" s="351"/>
      <c r="D260" s="351"/>
      <c r="E260" s="351"/>
      <c r="F260" s="351"/>
      <c r="G260" s="351"/>
      <c r="H260" s="333"/>
    </row>
    <row r="261" s="73" customFormat="true" ht="13.5" hidden="false" customHeight="false" outlineLevel="0" collapsed="false">
      <c r="A261" s="98"/>
      <c r="B261" s="351"/>
      <c r="C261" s="351"/>
      <c r="D261" s="351"/>
      <c r="E261" s="351"/>
      <c r="F261" s="351"/>
      <c r="G261" s="351"/>
      <c r="H261" s="333"/>
    </row>
    <row r="262" s="73" customFormat="true" ht="13.5" hidden="false" customHeight="false" outlineLevel="0" collapsed="false">
      <c r="A262" s="98"/>
      <c r="B262" s="351"/>
      <c r="C262" s="351"/>
      <c r="D262" s="351"/>
      <c r="E262" s="351"/>
      <c r="F262" s="351"/>
      <c r="G262" s="351"/>
      <c r="H262" s="333"/>
    </row>
    <row r="263" s="73" customFormat="true" ht="13.5" hidden="false" customHeight="false" outlineLevel="0" collapsed="false">
      <c r="A263" s="98"/>
      <c r="B263" s="351"/>
      <c r="C263" s="351"/>
      <c r="D263" s="351"/>
      <c r="E263" s="351"/>
      <c r="F263" s="351"/>
      <c r="G263" s="351"/>
      <c r="H263" s="333"/>
    </row>
    <row r="264" s="73" customFormat="true" ht="13.5" hidden="false" customHeight="false" outlineLevel="0" collapsed="false">
      <c r="A264" s="98"/>
      <c r="B264" s="351"/>
      <c r="C264" s="351"/>
      <c r="D264" s="351"/>
      <c r="E264" s="351"/>
      <c r="F264" s="351"/>
      <c r="G264" s="351"/>
      <c r="H264" s="333"/>
    </row>
    <row r="265" s="73" customFormat="true" ht="13.5" hidden="false" customHeight="false" outlineLevel="0" collapsed="false">
      <c r="A265" s="98"/>
      <c r="B265" s="351"/>
      <c r="C265" s="351"/>
      <c r="D265" s="351"/>
      <c r="E265" s="351"/>
      <c r="F265" s="351"/>
      <c r="G265" s="351"/>
      <c r="H265" s="333"/>
    </row>
    <row r="266" s="73" customFormat="true" ht="13.5" hidden="false" customHeight="false" outlineLevel="0" collapsed="false">
      <c r="A266" s="98"/>
      <c r="B266" s="351"/>
      <c r="C266" s="351"/>
      <c r="D266" s="351"/>
      <c r="E266" s="351"/>
      <c r="F266" s="351"/>
      <c r="G266" s="351"/>
      <c r="H266" s="333"/>
    </row>
    <row r="267" s="73" customFormat="true" ht="13.5" hidden="false" customHeight="false" outlineLevel="0" collapsed="false">
      <c r="A267" s="98"/>
      <c r="B267" s="351"/>
      <c r="C267" s="351"/>
      <c r="D267" s="351"/>
      <c r="E267" s="351"/>
      <c r="F267" s="351"/>
      <c r="G267" s="351"/>
      <c r="H267" s="333"/>
    </row>
    <row r="268" s="73" customFormat="true" ht="13.5" hidden="false" customHeight="false" outlineLevel="0" collapsed="false">
      <c r="A268" s="363"/>
      <c r="B268" s="363"/>
      <c r="C268" s="363"/>
      <c r="D268" s="363"/>
      <c r="E268" s="363"/>
      <c r="F268" s="363"/>
      <c r="G268" s="363"/>
      <c r="H268" s="363"/>
    </row>
    <row r="269" s="73" customFormat="true" ht="13.5" hidden="false" customHeight="false" outlineLevel="0" collapsed="false">
      <c r="A269" s="363"/>
      <c r="B269" s="363"/>
      <c r="C269" s="363"/>
      <c r="D269" s="363"/>
      <c r="E269" s="363"/>
      <c r="F269" s="363"/>
      <c r="G269" s="363"/>
      <c r="H269" s="363"/>
      <c r="J269" s="194" t="s">
        <v>692</v>
      </c>
      <c r="P269" s="194" t="s">
        <v>693</v>
      </c>
    </row>
    <row r="270" s="73" customFormat="true" ht="13.5" hidden="false" customHeight="false" outlineLevel="0" collapsed="false">
      <c r="A270" s="363"/>
      <c r="B270" s="363"/>
      <c r="C270" s="363"/>
      <c r="D270" s="363"/>
      <c r="E270" s="363"/>
      <c r="F270" s="363"/>
      <c r="G270" s="363"/>
      <c r="H270" s="363"/>
    </row>
    <row r="271" s="73" customFormat="true" ht="13.5" hidden="false" customHeight="false" outlineLevel="0" collapsed="false">
      <c r="A271" s="194" t="s">
        <v>694</v>
      </c>
      <c r="B271" s="363"/>
      <c r="C271" s="363"/>
      <c r="D271" s="363"/>
      <c r="E271" s="363"/>
      <c r="F271" s="363"/>
      <c r="G271" s="363"/>
      <c r="H271" s="363"/>
    </row>
    <row r="272" s="73" customFormat="true" ht="13.5" hidden="false" customHeight="false" outlineLevel="0" collapsed="false">
      <c r="A272" s="394"/>
      <c r="B272" s="363"/>
      <c r="C272" s="363"/>
      <c r="D272" s="363"/>
      <c r="E272" s="363"/>
      <c r="F272" s="363"/>
      <c r="G272" s="363"/>
      <c r="H272" s="363"/>
    </row>
    <row r="273" s="73" customFormat="true" ht="13.5" hidden="false" customHeight="false" outlineLevel="0" collapsed="false">
      <c r="A273" s="360" t="s">
        <v>688</v>
      </c>
      <c r="B273" s="360" t="n">
        <f aca="false">'0.DADES'!D37</f>
        <v>2005</v>
      </c>
      <c r="C273" s="360" t="n">
        <f aca="false">'0.DADES'!E37</f>
        <v>2006</v>
      </c>
      <c r="D273" s="360" t="n">
        <f aca="false">'0.DADES'!F37</f>
        <v>2007</v>
      </c>
      <c r="E273" s="360" t="n">
        <f aca="false">'0.DADES'!G37</f>
        <v>2008</v>
      </c>
      <c r="F273" s="360" t="n">
        <f aca="false">'0.DADES'!H37</f>
        <v>2009</v>
      </c>
      <c r="G273" s="360" t="n">
        <f aca="false">'0.DADES'!I37</f>
        <v>2010</v>
      </c>
      <c r="H273" s="328" t="s">
        <v>582</v>
      </c>
    </row>
    <row r="274" s="73" customFormat="true" ht="13.5" hidden="false" customHeight="false" outlineLevel="0" collapsed="false">
      <c r="A274" s="330" t="s">
        <v>695</v>
      </c>
      <c r="B274" s="381" t="n">
        <f aca="false">'7.AIGUA'!B25</f>
        <v>5631.29415</v>
      </c>
      <c r="C274" s="381" t="n">
        <f aca="false">'7.AIGUA'!C25</f>
        <v>6282.35712</v>
      </c>
      <c r="D274" s="381" t="n">
        <f aca="false">'7.AIGUA'!D25</f>
        <v>6378.18426</v>
      </c>
      <c r="E274" s="381" t="n">
        <f aca="false">'7.AIGUA'!E25</f>
        <v>6693.7638</v>
      </c>
      <c r="F274" s="381" t="n">
        <f aca="false">'7.AIGUA'!F25</f>
        <v>6891.7632</v>
      </c>
      <c r="G274" s="381" t="n">
        <f aca="false">'7.AIGUA'!G25</f>
        <v>4016.25713</v>
      </c>
      <c r="H274" s="332" t="n">
        <f aca="false">(F274-B274)/B274</f>
        <v>0.223832926575146</v>
      </c>
    </row>
    <row r="275" s="73" customFormat="true" ht="13.5" hidden="false" customHeight="false" outlineLevel="0" collapsed="false">
      <c r="A275" s="330" t="s">
        <v>291</v>
      </c>
      <c r="B275" s="344" t="n">
        <f aca="false">'7.AIGUA'!B38</f>
        <v>364.62474</v>
      </c>
      <c r="C275" s="344" t="n">
        <f aca="false">'7.AIGUA'!C38</f>
        <v>393.45534</v>
      </c>
      <c r="D275" s="344" t="n">
        <f aca="false">'7.AIGUA'!D38</f>
        <v>392.40342</v>
      </c>
      <c r="E275" s="344" t="n">
        <f aca="false">'7.AIGUA'!E38</f>
        <v>412.6086</v>
      </c>
      <c r="F275" s="344" t="n">
        <f aca="false">'7.AIGUA'!F38</f>
        <v>432.03888</v>
      </c>
      <c r="G275" s="344" t="n">
        <f aca="false">'7.AIGUA'!G38</f>
        <v>543.67794</v>
      </c>
      <c r="H275" s="332" t="n">
        <f aca="false">(F275-B275)/B275</f>
        <v>0.184886357409538</v>
      </c>
    </row>
    <row r="276" s="73" customFormat="true" ht="13.5" hidden="false" customHeight="false" outlineLevel="0" collapsed="false">
      <c r="A276" s="334" t="s">
        <v>272</v>
      </c>
      <c r="B276" s="347" t="n">
        <f aca="false">SUM(B274:B275)</f>
        <v>5995.91889</v>
      </c>
      <c r="C276" s="347" t="n">
        <f aca="false">SUM(C274:C275)</f>
        <v>6675.81246</v>
      </c>
      <c r="D276" s="347" t="n">
        <f aca="false">SUM(D274:D275)</f>
        <v>6770.58768</v>
      </c>
      <c r="E276" s="347" t="n">
        <f aca="false">SUM(E274:E275)</f>
        <v>7106.3724</v>
      </c>
      <c r="F276" s="347" t="n">
        <f aca="false">SUM(F274:F275)</f>
        <v>7323.80208</v>
      </c>
      <c r="G276" s="347" t="n">
        <f aca="false">SUM(G274:G275)</f>
        <v>4559.93507</v>
      </c>
      <c r="H276" s="336" t="n">
        <f aca="false">(F276-B276)/B276</f>
        <v>0.221464501832179</v>
      </c>
    </row>
    <row r="277" s="73" customFormat="true" ht="13.5" hidden="false" customHeight="false" outlineLevel="0" collapsed="false">
      <c r="A277" s="363"/>
      <c r="B277" s="363"/>
      <c r="C277" s="363"/>
      <c r="D277" s="363"/>
      <c r="E277" s="363"/>
      <c r="F277" s="363"/>
      <c r="G277" s="363"/>
      <c r="H277" s="363"/>
    </row>
    <row r="278" s="73" customFormat="true" ht="13.5" hidden="false" customHeight="false" outlineLevel="0" collapsed="false">
      <c r="A278" s="363"/>
      <c r="B278" s="363"/>
      <c r="C278" s="363"/>
      <c r="D278" s="363"/>
      <c r="E278" s="363"/>
      <c r="F278" s="363"/>
      <c r="G278" s="363"/>
      <c r="H278" s="363"/>
    </row>
    <row r="279" s="73" customFormat="true" ht="13.5" hidden="false" customHeight="false" outlineLevel="0" collapsed="false">
      <c r="A279" s="363"/>
      <c r="B279" s="363"/>
      <c r="C279" s="363"/>
      <c r="D279" s="363"/>
      <c r="E279" s="363"/>
      <c r="F279" s="363"/>
      <c r="G279" s="363"/>
      <c r="H279" s="363"/>
    </row>
    <row r="280" s="73" customFormat="true" ht="13.5" hidden="false" customHeight="false" outlineLevel="0" collapsed="false">
      <c r="A280" s="363"/>
      <c r="B280" s="363"/>
      <c r="C280" s="363"/>
      <c r="D280" s="363"/>
      <c r="E280" s="363"/>
      <c r="F280" s="363"/>
      <c r="G280" s="363"/>
      <c r="H280" s="363"/>
    </row>
    <row r="281" s="73" customFormat="true" ht="13.5" hidden="false" customHeight="false" outlineLevel="0" collapsed="false">
      <c r="A281" s="363"/>
      <c r="B281" s="363"/>
      <c r="C281" s="363"/>
      <c r="D281" s="363"/>
      <c r="E281" s="363"/>
      <c r="F281" s="363"/>
      <c r="G281" s="363"/>
      <c r="H281" s="363"/>
    </row>
    <row r="282" s="73" customFormat="true" ht="13.5" hidden="false" customHeight="false" outlineLevel="0" collapsed="false">
      <c r="A282" s="363"/>
      <c r="B282" s="363"/>
      <c r="C282" s="363"/>
      <c r="D282" s="363"/>
      <c r="E282" s="363"/>
      <c r="F282" s="363"/>
      <c r="G282" s="363"/>
      <c r="H282" s="363"/>
    </row>
    <row r="283" s="73" customFormat="true" ht="13.5" hidden="false" customHeight="false" outlineLevel="0" collapsed="false">
      <c r="A283" s="363"/>
      <c r="B283" s="363"/>
      <c r="C283" s="363"/>
      <c r="D283" s="363"/>
      <c r="E283" s="363"/>
      <c r="F283" s="363"/>
      <c r="G283" s="363"/>
      <c r="H283" s="363"/>
    </row>
    <row r="284" s="73" customFormat="true" ht="13.5" hidden="false" customHeight="false" outlineLevel="0" collapsed="false">
      <c r="A284" s="363"/>
      <c r="B284" s="363"/>
      <c r="C284" s="363"/>
      <c r="D284" s="363"/>
      <c r="E284" s="363"/>
      <c r="F284" s="363"/>
      <c r="G284" s="363"/>
      <c r="H284" s="363"/>
      <c r="J284" s="194" t="s">
        <v>696</v>
      </c>
      <c r="P284" s="194" t="s">
        <v>697</v>
      </c>
    </row>
    <row r="285" s="73" customFormat="true" ht="13.5" hidden="false" customHeight="false" outlineLevel="0" collapsed="false">
      <c r="A285" s="194" t="s">
        <v>698</v>
      </c>
      <c r="B285" s="363"/>
      <c r="C285" s="363"/>
      <c r="D285" s="363"/>
      <c r="E285" s="363"/>
      <c r="F285" s="363"/>
      <c r="G285" s="363"/>
      <c r="H285" s="363"/>
    </row>
    <row r="286" s="73" customFormat="true" ht="13.5" hidden="false" customHeight="false" outlineLevel="0" collapsed="false">
      <c r="A286" s="363"/>
      <c r="B286" s="363"/>
      <c r="C286" s="363"/>
      <c r="D286" s="363"/>
      <c r="E286" s="363"/>
      <c r="F286" s="363"/>
      <c r="G286" s="363"/>
      <c r="H286" s="363"/>
    </row>
    <row r="287" s="73" customFormat="true" ht="13.5" hidden="false" customHeight="false" outlineLevel="0" collapsed="false">
      <c r="A287" s="360" t="s">
        <v>688</v>
      </c>
      <c r="B287" s="360" t="n">
        <f aca="false">'0.DADES'!D37</f>
        <v>2005</v>
      </c>
      <c r="C287" s="360" t="n">
        <f aca="false">'0.DADES'!E37</f>
        <v>2006</v>
      </c>
      <c r="D287" s="360" t="n">
        <f aca="false">'0.DADES'!F37</f>
        <v>2007</v>
      </c>
      <c r="E287" s="360" t="n">
        <f aca="false">'0.DADES'!G37</f>
        <v>2008</v>
      </c>
      <c r="F287" s="360" t="n">
        <f aca="false">'0.DADES'!H37</f>
        <v>2009</v>
      </c>
      <c r="G287" s="360" t="n">
        <f aca="false">'0.DADES'!I37</f>
        <v>2010</v>
      </c>
      <c r="H287" s="328" t="s">
        <v>582</v>
      </c>
    </row>
    <row r="288" s="73" customFormat="true" ht="13.5" hidden="false" customHeight="false" outlineLevel="0" collapsed="false">
      <c r="A288" s="330" t="s">
        <v>695</v>
      </c>
      <c r="B288" s="381" t="n">
        <f aca="false">'7.AIGUA'!B52</f>
        <v>4751.68600377</v>
      </c>
      <c r="C288" s="381" t="n">
        <f aca="false">'7.AIGUA'!C52</f>
        <v>5706.893207808</v>
      </c>
      <c r="D288" s="381" t="n">
        <f aca="false">'7.AIGUA'!D52</f>
        <v>5237.127095886</v>
      </c>
      <c r="E288" s="381" t="n">
        <f aca="false">'7.AIGUA'!E52</f>
        <v>5537.08141536</v>
      </c>
      <c r="F288" s="381" t="n">
        <f aca="false">'7.AIGUA'!F52</f>
        <v>5844.90436992</v>
      </c>
      <c r="G288" s="381" t="n">
        <f aca="false">'7.AIGUA'!G52</f>
        <v>3406.187671953</v>
      </c>
      <c r="H288" s="332" t="n">
        <f aca="false">(F288-B288)/B288</f>
        <v>0.230069572207136</v>
      </c>
    </row>
    <row r="289" s="73" customFormat="true" ht="13.5" hidden="false" customHeight="false" outlineLevel="0" collapsed="false">
      <c r="A289" s="330" t="s">
        <v>291</v>
      </c>
      <c r="B289" s="381" t="n">
        <f aca="false">'7.AIGUA'!B53</f>
        <v>307.670355612</v>
      </c>
      <c r="C289" s="381" t="n">
        <f aca="false">'7.AIGUA'!C53</f>
        <v>357.414830856</v>
      </c>
      <c r="D289" s="381" t="n">
        <f aca="false">'7.AIGUA'!D53</f>
        <v>322.202448162</v>
      </c>
      <c r="E289" s="381" t="n">
        <f aca="false">'7.AIGUA'!E53</f>
        <v>341.30983392</v>
      </c>
      <c r="F289" s="381" t="n">
        <f aca="false">'7.AIGUA'!F53</f>
        <v>366.412174128</v>
      </c>
      <c r="G289" s="381" t="n">
        <f aca="false">'7.AIGUA'!G53</f>
        <v>461.093260914</v>
      </c>
      <c r="H289" s="332" t="n">
        <f aca="false">(F289-B289)/B289</f>
        <v>0.19092453154661</v>
      </c>
    </row>
    <row r="290" s="73" customFormat="true" ht="13.5" hidden="false" customHeight="false" outlineLevel="0" collapsed="false">
      <c r="A290" s="334" t="s">
        <v>272</v>
      </c>
      <c r="B290" s="347" t="n">
        <f aca="false">SUM(B288:B289)</f>
        <v>5059.356359382</v>
      </c>
      <c r="C290" s="347" t="n">
        <f aca="false">SUM(C288:C289)</f>
        <v>6064.308038664</v>
      </c>
      <c r="D290" s="347" t="n">
        <f aca="false">SUM(D288:D289)</f>
        <v>5559.329544048</v>
      </c>
      <c r="E290" s="347" t="n">
        <f aca="false">SUM(E288:E289)</f>
        <v>5878.39124928</v>
      </c>
      <c r="F290" s="347" t="n">
        <f aca="false">SUM(F288:F289)</f>
        <v>6211.316544048</v>
      </c>
      <c r="G290" s="347" t="n">
        <f aca="false">SUM(G288:G289)</f>
        <v>3867.280932867</v>
      </c>
      <c r="H290" s="336" t="n">
        <f aca="false">(F290-B290)/B290</f>
        <v>0.227689077985151</v>
      </c>
    </row>
    <row r="291" s="73" customFormat="true" ht="13.5" hidden="false" customHeight="false" outlineLevel="0" collapsed="false">
      <c r="A291" s="98"/>
      <c r="B291" s="351"/>
      <c r="C291" s="351"/>
      <c r="D291" s="351"/>
      <c r="E291" s="351"/>
      <c r="F291" s="351"/>
      <c r="G291" s="351"/>
      <c r="H291" s="333"/>
    </row>
    <row r="292" s="73" customFormat="true" ht="13.5" hidden="false" customHeight="false" outlineLevel="0" collapsed="false">
      <c r="A292" s="98"/>
      <c r="B292" s="351"/>
      <c r="C292" s="351"/>
      <c r="D292" s="351"/>
      <c r="E292" s="351"/>
      <c r="F292" s="351"/>
      <c r="G292" s="351"/>
      <c r="H292" s="333"/>
    </row>
    <row r="293" s="73" customFormat="true" ht="13.5" hidden="false" customHeight="false" outlineLevel="0" collapsed="false">
      <c r="A293" s="363"/>
      <c r="B293" s="363"/>
      <c r="C293" s="363"/>
      <c r="D293" s="363"/>
      <c r="E293" s="363"/>
      <c r="F293" s="363"/>
      <c r="G293" s="363"/>
      <c r="H293" s="363"/>
    </row>
    <row r="294" s="73" customFormat="true" ht="13.5" hidden="false" customHeight="false" outlineLevel="0" collapsed="false">
      <c r="A294" s="363"/>
      <c r="B294" s="363"/>
      <c r="C294" s="363"/>
      <c r="D294" s="363"/>
      <c r="E294" s="363"/>
      <c r="F294" s="363"/>
      <c r="G294" s="363"/>
      <c r="H294" s="363"/>
    </row>
    <row r="295" s="73" customFormat="true" ht="13.5" hidden="false" customHeight="false" outlineLevel="0" collapsed="false">
      <c r="A295" s="363"/>
      <c r="B295" s="363"/>
      <c r="C295" s="363"/>
      <c r="D295" s="363"/>
      <c r="E295" s="363"/>
      <c r="F295" s="363"/>
      <c r="G295" s="363"/>
      <c r="H295" s="363"/>
    </row>
    <row r="296" s="73" customFormat="true" ht="13.5" hidden="false" customHeight="false" outlineLevel="0" collapsed="false">
      <c r="A296" s="363"/>
      <c r="B296" s="363"/>
      <c r="C296" s="363"/>
      <c r="D296" s="363"/>
      <c r="E296" s="363"/>
      <c r="F296" s="363"/>
      <c r="G296" s="363"/>
      <c r="H296" s="363"/>
    </row>
    <row r="297" s="73" customFormat="true" ht="13.5" hidden="false" customHeight="false" outlineLevel="0" collapsed="false">
      <c r="A297" s="363"/>
      <c r="B297" s="363"/>
      <c r="C297" s="363"/>
      <c r="D297" s="363"/>
      <c r="E297" s="363"/>
      <c r="F297" s="363"/>
      <c r="G297" s="363"/>
      <c r="H297" s="363"/>
    </row>
    <row r="298" s="73" customFormat="true" ht="13.5" hidden="false" customHeight="false" outlineLevel="0" collapsed="false">
      <c r="A298" s="363"/>
      <c r="B298" s="363"/>
      <c r="C298" s="363"/>
      <c r="D298" s="363"/>
      <c r="E298" s="363"/>
      <c r="F298" s="363"/>
      <c r="G298" s="363"/>
      <c r="H298" s="363"/>
    </row>
    <row r="299" s="73" customFormat="true" ht="13.5" hidden="false" customHeight="false" outlineLevel="0" collapsed="false">
      <c r="A299" s="363"/>
      <c r="B299" s="363"/>
      <c r="C299" s="363"/>
      <c r="D299" s="363"/>
      <c r="E299" s="363"/>
      <c r="F299" s="363"/>
      <c r="G299" s="363"/>
      <c r="H299" s="363"/>
    </row>
    <row r="300" s="73" customFormat="true" ht="13.5" hidden="false" customHeight="false" outlineLevel="0" collapsed="false">
      <c r="A300" s="363"/>
      <c r="B300" s="363"/>
      <c r="C300" s="363"/>
      <c r="D300" s="363"/>
      <c r="E300" s="363"/>
      <c r="F300" s="363"/>
      <c r="G300" s="363"/>
      <c r="H300" s="363"/>
    </row>
    <row r="301" s="73" customFormat="true" ht="13.5" hidden="false" customHeight="false" outlineLevel="0" collapsed="false">
      <c r="A301" s="363"/>
      <c r="B301" s="363"/>
      <c r="C301" s="363"/>
      <c r="D301" s="363"/>
      <c r="E301" s="363"/>
      <c r="F301" s="363"/>
      <c r="G301" s="363"/>
      <c r="H301" s="363"/>
    </row>
    <row r="302" s="73" customFormat="true" ht="13.5" hidden="false" customHeight="false" outlineLevel="0" collapsed="false">
      <c r="A302" s="363"/>
      <c r="B302" s="363"/>
      <c r="C302" s="363"/>
      <c r="D302" s="363"/>
      <c r="E302" s="363"/>
      <c r="F302" s="363"/>
      <c r="G302" s="363"/>
      <c r="H302" s="363"/>
    </row>
    <row r="303" s="73" customFormat="true" ht="13.5" hidden="false" customHeight="false" outlineLevel="0" collapsed="false">
      <c r="A303" s="363"/>
      <c r="B303" s="363"/>
      <c r="C303" s="363"/>
      <c r="D303" s="363"/>
      <c r="E303" s="363"/>
      <c r="F303" s="363"/>
      <c r="G303" s="363"/>
      <c r="H303" s="363"/>
    </row>
    <row r="304" s="363" customFormat="true" ht="14.25" hidden="false" customHeight="false" outlineLevel="0" collapsed="false">
      <c r="A304" s="73"/>
      <c r="B304" s="73"/>
      <c r="C304" s="73"/>
      <c r="D304" s="73"/>
      <c r="E304" s="73"/>
      <c r="F304" s="73"/>
      <c r="G304" s="73"/>
      <c r="H304" s="73"/>
      <c r="AP304" s="395" t="s">
        <v>272</v>
      </c>
      <c r="AQ304" s="396" t="e">
        <f aca="false">SUM(#REF!)</f>
        <v>#REF!</v>
      </c>
      <c r="AZ304" s="395" t="s">
        <v>272</v>
      </c>
      <c r="BA304" s="396" t="e">
        <f aca="false">SUM(#REF!)</f>
        <v>#REF!</v>
      </c>
      <c r="BI304" s="395" t="s">
        <v>272</v>
      </c>
      <c r="BJ304" s="396" t="e">
        <f aca="false">SUM(#REF!)</f>
        <v>#REF!</v>
      </c>
      <c r="BQ304" s="395" t="s">
        <v>272</v>
      </c>
      <c r="BR304" s="396" t="e">
        <f aca="false">SUM(#REF!)</f>
        <v>#REF!</v>
      </c>
    </row>
    <row r="305" s="363" customFormat="true" ht="13.5" hidden="false" customHeight="false" outlineLevel="0" collapsed="false"/>
    <row r="306" s="363" customFormat="true" ht="13.5" hidden="false" customHeight="false" outlineLevel="0" collapsed="false"/>
    <row r="307" s="363" customFormat="true" ht="13.5" hidden="false" customHeight="false" outlineLevel="0" collapsed="false"/>
    <row r="308" s="363" customFormat="true" ht="13.5" hidden="false" customHeight="false" outlineLevel="0" collapsed="false"/>
    <row r="309" s="363" customFormat="true" ht="13.5" hidden="false" customHeight="false" outlineLevel="0" collapsed="false"/>
    <row r="310" s="363" customFormat="true" ht="13.5" hidden="false" customHeight="false" outlineLevel="0" collapsed="false"/>
    <row r="311" s="363" customFormat="true" ht="13.5" hidden="false" customHeight="false" outlineLevel="0" collapsed="false"/>
    <row r="312" s="363" customFormat="true" ht="13.5" hidden="false" customHeight="false" outlineLevel="0" collapsed="false"/>
    <row r="313" s="363" customFormat="true" ht="13.5" hidden="false" customHeight="false" outlineLevel="0" collapsed="false"/>
    <row r="314" s="363" customFormat="true" ht="13.5" hidden="false" customHeight="false" outlineLevel="0" collapsed="false"/>
    <row r="315" s="363" customFormat="true" ht="13.5" hidden="false" customHeight="false" outlineLevel="0" collapsed="false"/>
    <row r="316" s="363" customFormat="true" ht="13.5" hidden="false" customHeight="false" outlineLevel="0" collapsed="false"/>
    <row r="317" s="363" customFormat="true" ht="13.5" hidden="false" customHeight="false" outlineLevel="0" collapsed="false"/>
    <row r="318" s="363" customFormat="true" ht="14.25" hidden="false" customHeight="false" outlineLevel="0" collapsed="false"/>
    <row r="319" s="363" customFormat="true" ht="14.25" hidden="false" customHeight="false" outlineLevel="0" collapsed="false">
      <c r="AZ319" s="397" t="s">
        <v>699</v>
      </c>
      <c r="BA319" s="398" t="n">
        <v>2005</v>
      </c>
      <c r="BH319" s="397" t="s">
        <v>700</v>
      </c>
      <c r="BI319" s="398" t="n">
        <v>2007</v>
      </c>
      <c r="BP319" s="397" t="s">
        <v>699</v>
      </c>
      <c r="BQ319" s="398" t="n">
        <v>2007</v>
      </c>
    </row>
    <row r="320" s="363" customFormat="true" ht="13.5" hidden="false" customHeight="false" outlineLevel="0" collapsed="false">
      <c r="AI320" s="397" t="s">
        <v>700</v>
      </c>
      <c r="AJ320" s="398" t="n">
        <v>2005</v>
      </c>
      <c r="AZ320" s="399" t="s">
        <v>701</v>
      </c>
      <c r="BA320" s="400" t="e">
        <f aca="false">+#REF!</f>
        <v>#REF!</v>
      </c>
      <c r="BH320" s="401" t="s">
        <v>291</v>
      </c>
      <c r="BI320" s="400" t="e">
        <f aca="false">#REF!</f>
        <v>#REF!</v>
      </c>
      <c r="BP320" s="399" t="s">
        <v>701</v>
      </c>
      <c r="BQ320" s="400" t="e">
        <f aca="false">#REF!</f>
        <v>#REF!</v>
      </c>
    </row>
    <row r="321" s="363" customFormat="true" ht="13.5" hidden="false" customHeight="false" outlineLevel="0" collapsed="false">
      <c r="AI321" s="401" t="s">
        <v>291</v>
      </c>
      <c r="AJ321" s="400" t="e">
        <f aca="false">#REF!</f>
        <v>#REF!</v>
      </c>
      <c r="AZ321" s="399" t="s">
        <v>702</v>
      </c>
      <c r="BA321" s="400" t="e">
        <f aca="false">+#REF!</f>
        <v>#REF!</v>
      </c>
      <c r="BH321" s="401" t="s">
        <v>160</v>
      </c>
      <c r="BI321" s="400" t="n">
        <v>0</v>
      </c>
      <c r="BP321" s="399" t="s">
        <v>702</v>
      </c>
      <c r="BQ321" s="400" t="e">
        <f aca="false">#REF!</f>
        <v>#REF!</v>
      </c>
    </row>
    <row r="322" s="363" customFormat="true" ht="13.5" hidden="false" customHeight="false" outlineLevel="0" collapsed="false">
      <c r="AI322" s="401" t="s">
        <v>160</v>
      </c>
      <c r="AJ322" s="400" t="e">
        <f aca="false">#REF!</f>
        <v>#REF!</v>
      </c>
      <c r="AZ322" s="399" t="s">
        <v>291</v>
      </c>
      <c r="BA322" s="400" t="e">
        <f aca="false">+#REF!</f>
        <v>#REF!</v>
      </c>
      <c r="BH322" s="401" t="s">
        <v>701</v>
      </c>
      <c r="BI322" s="400" t="e">
        <f aca="false">#REF!</f>
        <v>#REF!</v>
      </c>
      <c r="BP322" s="399" t="s">
        <v>291</v>
      </c>
      <c r="BQ322" s="400" t="e">
        <f aca="false">#REF!</f>
        <v>#REF!</v>
      </c>
    </row>
    <row r="323" s="363" customFormat="true" ht="13.5" hidden="false" customHeight="false" outlineLevel="0" collapsed="false">
      <c r="AI323" s="401" t="s">
        <v>701</v>
      </c>
      <c r="AJ323" s="400" t="e">
        <f aca="false">#REF!</f>
        <v>#REF!</v>
      </c>
      <c r="AZ323" s="401"/>
      <c r="BA323" s="400"/>
      <c r="BH323" s="401"/>
      <c r="BI323" s="400"/>
      <c r="BP323" s="401"/>
      <c r="BQ323" s="400"/>
    </row>
    <row r="324" s="363" customFormat="true" ht="14.25" hidden="false" customHeight="false" outlineLevel="0" collapsed="false">
      <c r="AI324" s="401" t="s">
        <v>703</v>
      </c>
      <c r="AJ324" s="400" t="n">
        <v>0</v>
      </c>
      <c r="AZ324" s="395" t="s">
        <v>272</v>
      </c>
      <c r="BA324" s="396" t="e">
        <f aca="false">SUM(BA320:BA323)</f>
        <v>#REF!</v>
      </c>
      <c r="BH324" s="395" t="s">
        <v>272</v>
      </c>
      <c r="BI324" s="396" t="e">
        <f aca="false">SUM(BI320:BI323)</f>
        <v>#REF!</v>
      </c>
      <c r="BP324" s="395" t="s">
        <v>272</v>
      </c>
      <c r="BQ324" s="396" t="e">
        <f aca="false">SUM(BQ320:BQ323)</f>
        <v>#REF!</v>
      </c>
    </row>
    <row r="325" s="363" customFormat="true" ht="14.25" hidden="false" customHeight="false" outlineLevel="0" collapsed="false">
      <c r="AI325" s="395" t="s">
        <v>272</v>
      </c>
      <c r="AJ325" s="396" t="e">
        <f aca="false">SUM(AJ321:AJ324)</f>
        <v>#REF!</v>
      </c>
    </row>
    <row r="326" s="363" customFormat="true" ht="13.5" hidden="false" customHeight="false" outlineLevel="0" collapsed="false"/>
    <row r="327" s="363" customFormat="true" ht="13.5" hidden="false" customHeight="false" outlineLevel="0" collapsed="false"/>
    <row r="328" s="363" customFormat="true" ht="13.5" hidden="false" customHeight="false" outlineLevel="0" collapsed="false">
      <c r="I328" s="402"/>
    </row>
    <row r="329" s="363" customFormat="true" ht="13.5" hidden="false" customHeight="false" outlineLevel="0" collapsed="false">
      <c r="A329" s="402" t="n">
        <v>1</v>
      </c>
      <c r="B329" s="402" t="n">
        <v>21</v>
      </c>
      <c r="C329" s="402" t="n">
        <v>310</v>
      </c>
      <c r="D329" s="402"/>
      <c r="E329" s="402" t="n">
        <v>11627.91</v>
      </c>
      <c r="F329" s="402" t="s">
        <v>704</v>
      </c>
      <c r="G329" s="402" t="s">
        <v>705</v>
      </c>
      <c r="H329" s="402"/>
      <c r="I329" s="403" t="s">
        <v>706</v>
      </c>
    </row>
    <row r="330" s="363" customFormat="true" ht="13.5" hidden="false" customHeight="false" outlineLevel="0" collapsed="false">
      <c r="A330" s="403" t="n">
        <v>2.901</v>
      </c>
      <c r="B330" s="403" t="n">
        <v>2.512E-005</v>
      </c>
      <c r="C330" s="403" t="n">
        <v>0</v>
      </c>
      <c r="D330" s="403" t="e">
        <f aca="false">#REF!*A330+#REF!*B330+#REF!*C330</f>
        <v>#REF!</v>
      </c>
      <c r="E330" s="403" t="s">
        <v>707</v>
      </c>
      <c r="F330" s="403" t="e">
        <f aca="false">D330/#REF!</f>
        <v>#REF!</v>
      </c>
      <c r="G330" s="404" t="e">
        <f aca="false">F330*1000</f>
        <v>#REF!</v>
      </c>
      <c r="H330" s="402" t="s">
        <v>708</v>
      </c>
      <c r="I330" s="403" t="s">
        <v>706</v>
      </c>
    </row>
    <row r="331" s="363" customFormat="true" ht="13.5" hidden="false" customHeight="false" outlineLevel="0" collapsed="false">
      <c r="A331" s="403" t="n">
        <v>3.102</v>
      </c>
      <c r="B331" s="403" t="n">
        <v>2.512E-005</v>
      </c>
      <c r="C331" s="403"/>
      <c r="D331" s="403" t="e">
        <f aca="false">#REF!*A331+#REF!*B331+#REF!*C331</f>
        <v>#REF!</v>
      </c>
      <c r="E331" s="403"/>
      <c r="F331" s="403" t="e">
        <f aca="false">D331/#REF!</f>
        <v>#REF!</v>
      </c>
      <c r="G331" s="404" t="e">
        <f aca="false">F331*1000</f>
        <v>#REF!</v>
      </c>
      <c r="H331" s="402" t="s">
        <v>709</v>
      </c>
      <c r="I331" s="403" t="s">
        <v>710</v>
      </c>
    </row>
    <row r="332" s="363" customFormat="true" ht="13.5" hidden="false" customHeight="false" outlineLevel="0" collapsed="false">
      <c r="A332" s="403" t="n">
        <v>2.349</v>
      </c>
      <c r="B332" s="403" t="n">
        <v>4.19E-006</v>
      </c>
      <c r="C332" s="403" t="n">
        <v>4E-005</v>
      </c>
      <c r="D332" s="403" t="e">
        <f aca="false">#REF!*A332+#REF!*B332+#REF!*C332</f>
        <v>#REF!</v>
      </c>
      <c r="E332" s="403"/>
      <c r="F332" s="403" t="e">
        <f aca="false">D332/#REF!</f>
        <v>#REF!</v>
      </c>
      <c r="G332" s="404" t="e">
        <f aca="false">F332*1000</f>
        <v>#REF!</v>
      </c>
      <c r="H332" s="402" t="s">
        <v>711</v>
      </c>
      <c r="I332" s="403" t="s">
        <v>710</v>
      </c>
    </row>
    <row r="333" s="363" customFormat="true" ht="13.5" hidden="false" customHeight="false" outlineLevel="0" collapsed="false">
      <c r="A333" s="403" t="n">
        <v>2.642</v>
      </c>
      <c r="B333" s="403" t="n">
        <v>4.19E-006</v>
      </c>
      <c r="C333" s="403" t="n">
        <v>0.00021</v>
      </c>
      <c r="D333" s="403" t="e">
        <f aca="false">#REF!*A333+#REF!*B333+#REF!*C333</f>
        <v>#REF!</v>
      </c>
      <c r="E333" s="403"/>
      <c r="F333" s="403" t="e">
        <f aca="false">D333/#REF!</f>
        <v>#REF!</v>
      </c>
      <c r="G333" s="405" t="e">
        <f aca="false">F333*1000</f>
        <v>#REF!</v>
      </c>
      <c r="H333" s="403" t="s">
        <v>712</v>
      </c>
      <c r="I333" s="403" t="s">
        <v>710</v>
      </c>
    </row>
    <row r="334" s="363" customFormat="true" ht="13.5" hidden="false" customHeight="false" outlineLevel="0" collapsed="false">
      <c r="A334" s="403" t="n">
        <v>3.069</v>
      </c>
      <c r="B334" s="403" t="n">
        <v>2.512E-005</v>
      </c>
      <c r="C334" s="403" t="n">
        <v>0.00042</v>
      </c>
      <c r="D334" s="403" t="e">
        <f aca="false">#REF!*A334+#REF!*B334+#REF!*C334</f>
        <v>#REF!</v>
      </c>
      <c r="E334" s="403"/>
      <c r="F334" s="403" t="e">
        <f aca="false">D334/#REF!</f>
        <v>#REF!</v>
      </c>
      <c r="G334" s="405" t="e">
        <f aca="false">F334*1000</f>
        <v>#REF!</v>
      </c>
      <c r="H334" s="403" t="s">
        <v>713</v>
      </c>
      <c r="I334" s="403" t="s">
        <v>710</v>
      </c>
    </row>
    <row r="335" s="363" customFormat="true" ht="13.5" hidden="false" customHeight="false" outlineLevel="0" collapsed="false">
      <c r="A335" s="403" t="n">
        <v>3.241</v>
      </c>
      <c r="B335" s="403" t="n">
        <v>2.512E-005</v>
      </c>
      <c r="C335" s="403" t="n">
        <v>0.00042</v>
      </c>
      <c r="D335" s="403" t="e">
        <f aca="false">#REF!*A335+#REF!*B335+#REF!*C335</f>
        <v>#REF!</v>
      </c>
      <c r="E335" s="403"/>
      <c r="F335" s="403" t="e">
        <f aca="false">D335/#REF!</f>
        <v>#REF!</v>
      </c>
      <c r="G335" s="405" t="e">
        <f aca="false">F335*1000</f>
        <v>#REF!</v>
      </c>
      <c r="H335" s="403" t="s">
        <v>714</v>
      </c>
      <c r="I335" s="403" t="s">
        <v>715</v>
      </c>
    </row>
    <row r="336" s="363" customFormat="true" ht="14.25" hidden="false" customHeight="false" outlineLevel="0" collapsed="false">
      <c r="A336" s="403" t="n">
        <v>2.349</v>
      </c>
      <c r="B336" s="403" t="n">
        <v>2.512E-005</v>
      </c>
      <c r="C336" s="403" t="n">
        <v>0.00042</v>
      </c>
      <c r="D336" s="403" t="e">
        <f aca="false">#REF!*A336+#REF!*B336+#REF!*C336</f>
        <v>#REF!</v>
      </c>
      <c r="E336" s="403"/>
      <c r="F336" s="403" t="e">
        <f aca="false">D336/#REF!</f>
        <v>#REF!</v>
      </c>
      <c r="G336" s="405" t="e">
        <f aca="false">F336*1000</f>
        <v>#REF!</v>
      </c>
      <c r="H336" s="403" t="s">
        <v>711</v>
      </c>
      <c r="I336" s="403" t="s">
        <v>715</v>
      </c>
    </row>
    <row r="337" s="363" customFormat="true" ht="13.5" hidden="false" customHeight="false" outlineLevel="0" collapsed="false">
      <c r="A337" s="403" t="n">
        <v>2.642</v>
      </c>
      <c r="B337" s="403" t="n">
        <v>4.19E-006</v>
      </c>
      <c r="C337" s="403" t="n">
        <v>0.00021</v>
      </c>
      <c r="D337" s="403" t="e">
        <f aca="false">#REF!*A337+#REF!*B337+#REF!*C337</f>
        <v>#REF!</v>
      </c>
      <c r="E337" s="403"/>
      <c r="F337" s="403" t="e">
        <f aca="false">D337/#REF!</f>
        <v>#REF!</v>
      </c>
      <c r="G337" s="405" t="e">
        <f aca="false">F337*1000</f>
        <v>#REF!</v>
      </c>
      <c r="H337" s="403" t="s">
        <v>712</v>
      </c>
      <c r="I337" s="403" t="s">
        <v>715</v>
      </c>
      <c r="AH337" s="397" t="s">
        <v>716</v>
      </c>
      <c r="AI337" s="398" t="n">
        <v>2005</v>
      </c>
      <c r="AQ337" s="397" t="s">
        <v>716</v>
      </c>
      <c r="AR337" s="398" t="n">
        <v>2007</v>
      </c>
    </row>
    <row r="338" s="363" customFormat="true" ht="13.5" hidden="false" customHeight="false" outlineLevel="0" collapsed="false">
      <c r="A338" s="403" t="n">
        <v>3.241</v>
      </c>
      <c r="B338" s="403" t="n">
        <v>2.512E-005</v>
      </c>
      <c r="C338" s="403" t="n">
        <v>0.00042</v>
      </c>
      <c r="D338" s="403" t="e">
        <f aca="false">#REF!*A338+#REF!*B338+#REF!*C338</f>
        <v>#REF!</v>
      </c>
      <c r="E338" s="403"/>
      <c r="F338" s="403" t="e">
        <f aca="false">D338/#REF!</f>
        <v>#REF!</v>
      </c>
      <c r="G338" s="405" t="e">
        <f aca="false">F338*1000</f>
        <v>#REF!</v>
      </c>
      <c r="H338" s="403" t="s">
        <v>714</v>
      </c>
      <c r="I338" s="403" t="s">
        <v>717</v>
      </c>
      <c r="AH338" s="401" t="s">
        <v>718</v>
      </c>
      <c r="AI338" s="400" t="e">
        <f aca="false">#REF!</f>
        <v>#REF!</v>
      </c>
      <c r="AQ338" s="401" t="s">
        <v>718</v>
      </c>
      <c r="AR338" s="400" t="e">
        <f aca="false">#REF!</f>
        <v>#REF!</v>
      </c>
    </row>
    <row r="339" s="363" customFormat="true" ht="13.5" hidden="false" customHeight="false" outlineLevel="0" collapsed="false">
      <c r="A339" s="403" t="n">
        <v>3.069</v>
      </c>
      <c r="B339" s="403" t="n">
        <v>2.512E-005</v>
      </c>
      <c r="C339" s="403" t="n">
        <v>4.2E-005</v>
      </c>
      <c r="D339" s="403" t="e">
        <f aca="false">#REF!*A339+#REF!*B339+#REF!*C339</f>
        <v>#REF!</v>
      </c>
      <c r="E339" s="403"/>
      <c r="F339" s="403" t="e">
        <f aca="false">D339/#REF!</f>
        <v>#REF!</v>
      </c>
      <c r="G339" s="405" t="e">
        <f aca="false">F339*1000</f>
        <v>#REF!</v>
      </c>
      <c r="H339" s="403" t="s">
        <v>719</v>
      </c>
      <c r="AH339" s="401" t="s">
        <v>720</v>
      </c>
      <c r="AI339" s="400" t="e">
        <f aca="false">#REF!</f>
        <v>#REF!</v>
      </c>
      <c r="AQ339" s="401" t="s">
        <v>720</v>
      </c>
      <c r="AR339" s="400" t="e">
        <f aca="false">#REF!</f>
        <v>#REF!</v>
      </c>
    </row>
    <row r="340" s="73" customFormat="true" ht="13.5" hidden="false" customHeight="false" outlineLevel="0" collapsed="false">
      <c r="A340" s="363"/>
      <c r="B340" s="363"/>
      <c r="C340" s="363"/>
      <c r="D340" s="363"/>
      <c r="E340" s="363"/>
      <c r="F340" s="363"/>
      <c r="G340" s="363"/>
      <c r="H340" s="363"/>
    </row>
    <row r="341" s="73" customFormat="true" ht="13.5" hidden="false" customHeight="false" outlineLevel="0" collapsed="false">
      <c r="A341" s="363"/>
      <c r="B341" s="363"/>
      <c r="C341" s="363"/>
      <c r="D341" s="363"/>
      <c r="E341" s="363"/>
      <c r="F341" s="363"/>
      <c r="G341" s="363"/>
      <c r="H341" s="363"/>
    </row>
    <row r="342" s="73" customFormat="true" ht="13.5" hidden="false" customHeight="false" outlineLevel="0" collapsed="false">
      <c r="A342" s="363"/>
      <c r="B342" s="363"/>
      <c r="C342" s="363"/>
      <c r="D342" s="363"/>
      <c r="E342" s="363"/>
      <c r="F342" s="363"/>
      <c r="G342" s="363"/>
      <c r="H342" s="363"/>
    </row>
    <row r="343" s="73" customFormat="true" ht="13.5" hidden="false" customHeight="false" outlineLevel="0" collapsed="false">
      <c r="A343" s="363"/>
      <c r="B343" s="363"/>
      <c r="C343" s="363"/>
      <c r="D343" s="363"/>
      <c r="E343" s="363"/>
      <c r="F343" s="363"/>
      <c r="G343" s="363"/>
      <c r="H343" s="363"/>
    </row>
    <row r="344" s="73" customFormat="true" ht="13.5" hidden="false" customHeight="false" outlineLevel="0" collapsed="false">
      <c r="A344" s="363"/>
      <c r="B344" s="363"/>
      <c r="C344" s="363"/>
      <c r="D344" s="363"/>
      <c r="E344" s="363"/>
      <c r="F344" s="363"/>
      <c r="G344" s="363"/>
      <c r="H344" s="363"/>
    </row>
    <row r="345" s="73" customFormat="true" ht="13.5" hidden="false" customHeight="false" outlineLevel="0" collapsed="false">
      <c r="A345" s="363"/>
      <c r="B345" s="363"/>
      <c r="C345" s="363"/>
      <c r="D345" s="363"/>
      <c r="E345" s="363"/>
      <c r="F345" s="363"/>
      <c r="G345" s="363"/>
      <c r="H345" s="363"/>
    </row>
    <row r="346" s="73" customFormat="true" ht="13.5" hidden="false" customHeight="false" outlineLevel="0" collapsed="false">
      <c r="A346" s="363"/>
      <c r="B346" s="363"/>
      <c r="C346" s="363"/>
      <c r="D346" s="363"/>
      <c r="E346" s="363"/>
      <c r="F346" s="363"/>
      <c r="G346" s="363"/>
      <c r="H346" s="363"/>
    </row>
    <row r="347" s="73" customFormat="true" ht="13.5" hidden="false" customHeight="false" outlineLevel="0" collapsed="false">
      <c r="A347" s="363"/>
      <c r="B347" s="363"/>
      <c r="C347" s="363"/>
      <c r="D347" s="363"/>
      <c r="E347" s="363"/>
      <c r="F347" s="363"/>
      <c r="G347" s="363"/>
      <c r="H347" s="363"/>
    </row>
    <row r="348" s="73" customFormat="true" ht="13.5" hidden="false" customHeight="false" outlineLevel="0" collapsed="false">
      <c r="A348" s="363"/>
      <c r="B348" s="363"/>
      <c r="C348" s="363"/>
      <c r="D348" s="363"/>
      <c r="E348" s="363"/>
      <c r="F348" s="363"/>
      <c r="G348" s="363"/>
      <c r="H348" s="363"/>
    </row>
    <row r="349" s="73" customFormat="true" ht="13.5" hidden="false" customHeight="false" outlineLevel="0" collapsed="false">
      <c r="A349" s="363"/>
      <c r="B349" s="363"/>
      <c r="C349" s="363"/>
      <c r="D349" s="363"/>
      <c r="E349" s="363"/>
      <c r="F349" s="363"/>
      <c r="G349" s="363"/>
      <c r="H349" s="363"/>
    </row>
    <row r="350" s="73" customFormat="true" ht="13.5" hidden="false" customHeight="false" outlineLevel="0" collapsed="false">
      <c r="A350" s="363"/>
      <c r="B350" s="363"/>
      <c r="C350" s="363"/>
      <c r="D350" s="363"/>
      <c r="E350" s="363"/>
      <c r="F350" s="363"/>
      <c r="G350" s="363"/>
      <c r="H350" s="363"/>
    </row>
    <row r="351" s="73" customFormat="true" ht="13.5" hidden="false" customHeight="false" outlineLevel="0" collapsed="false">
      <c r="A351" s="363"/>
      <c r="B351" s="363"/>
      <c r="C351" s="363"/>
      <c r="D351" s="363"/>
      <c r="E351" s="363"/>
      <c r="F351" s="363"/>
      <c r="G351" s="363"/>
      <c r="H351" s="363"/>
    </row>
    <row r="352" s="73" customFormat="true" ht="13.5" hidden="false" customHeight="false" outlineLevel="0" collapsed="false">
      <c r="A352" s="363"/>
      <c r="B352" s="363"/>
      <c r="C352" s="363"/>
      <c r="D352" s="363"/>
      <c r="E352" s="363"/>
      <c r="F352" s="363"/>
      <c r="G352" s="363"/>
      <c r="H352" s="363"/>
    </row>
    <row r="353" s="73" customFormat="true" ht="13.5" hidden="false" customHeight="false" outlineLevel="0" collapsed="false">
      <c r="A353" s="363"/>
      <c r="B353" s="363"/>
      <c r="C353" s="363"/>
      <c r="D353" s="363"/>
      <c r="E353" s="363"/>
      <c r="F353" s="363"/>
      <c r="G353" s="363"/>
      <c r="H353" s="363"/>
    </row>
    <row r="354" s="73" customFormat="true" ht="13.5" hidden="false" customHeight="false" outlineLevel="0" collapsed="false">
      <c r="A354" s="363"/>
      <c r="B354" s="363"/>
      <c r="C354" s="363"/>
      <c r="D354" s="363"/>
      <c r="E354" s="363"/>
      <c r="F354" s="363"/>
      <c r="G354" s="363"/>
      <c r="H354" s="363"/>
    </row>
    <row r="355" s="73" customFormat="true" ht="13.5" hidden="false" customHeight="false" outlineLevel="0" collapsed="false">
      <c r="A355" s="363"/>
      <c r="B355" s="363"/>
      <c r="C355" s="363"/>
      <c r="D355" s="363"/>
      <c r="E355" s="363"/>
      <c r="F355" s="363"/>
      <c r="G355" s="363"/>
      <c r="H355" s="363"/>
    </row>
    <row r="356" s="73" customFormat="true" ht="13.5" hidden="false" customHeight="false" outlineLevel="0" collapsed="false">
      <c r="A356" s="363"/>
      <c r="B356" s="363"/>
      <c r="C356" s="363"/>
      <c r="D356" s="363"/>
      <c r="E356" s="363"/>
      <c r="F356" s="363"/>
      <c r="G356" s="363"/>
      <c r="H356" s="363"/>
    </row>
    <row r="357" s="73" customFormat="true" ht="13.5" hidden="false" customHeight="false" outlineLevel="0" collapsed="false">
      <c r="A357" s="363"/>
      <c r="B357" s="363"/>
      <c r="C357" s="363"/>
      <c r="D357" s="363"/>
      <c r="E357" s="363"/>
      <c r="F357" s="363"/>
      <c r="G357" s="363"/>
      <c r="H357" s="363"/>
    </row>
    <row r="358" s="73" customFormat="true" ht="13.5" hidden="false" customHeight="false" outlineLevel="0" collapsed="false">
      <c r="A358" s="363"/>
      <c r="B358" s="363"/>
      <c r="C358" s="363"/>
      <c r="D358" s="363"/>
      <c r="E358" s="363"/>
      <c r="F358" s="363"/>
      <c r="G358" s="363"/>
      <c r="H358" s="363"/>
    </row>
    <row r="359" s="73" customFormat="true" ht="13.5" hidden="false" customHeight="false" outlineLevel="0" collapsed="false">
      <c r="A359" s="363"/>
      <c r="B359" s="363"/>
      <c r="C359" s="363"/>
      <c r="D359" s="363"/>
      <c r="E359" s="363"/>
      <c r="F359" s="363"/>
      <c r="G359" s="363"/>
      <c r="H359" s="363"/>
    </row>
    <row r="360" s="73" customFormat="true" ht="13.5" hidden="false" customHeight="false" outlineLevel="0" collapsed="false">
      <c r="A360" s="363"/>
      <c r="B360" s="363"/>
      <c r="C360" s="363"/>
      <c r="D360" s="363"/>
      <c r="E360" s="363"/>
      <c r="F360" s="363"/>
      <c r="G360" s="363"/>
      <c r="H360" s="363"/>
    </row>
    <row r="361" s="73" customFormat="true" ht="13.5" hidden="false" customHeight="false" outlineLevel="0" collapsed="false">
      <c r="A361" s="363"/>
      <c r="B361" s="363"/>
      <c r="C361" s="363"/>
      <c r="D361" s="363"/>
      <c r="E361" s="363"/>
      <c r="F361" s="363"/>
      <c r="G361" s="363"/>
      <c r="H361" s="363"/>
    </row>
    <row r="362" s="73" customFormat="true" ht="13.5" hidden="false" customHeight="false" outlineLevel="0" collapsed="false">
      <c r="A362" s="363"/>
      <c r="B362" s="363"/>
      <c r="C362" s="363"/>
      <c r="D362" s="363"/>
      <c r="E362" s="363"/>
      <c r="F362" s="363"/>
      <c r="G362" s="363"/>
      <c r="H362" s="363"/>
    </row>
    <row r="363" s="73" customFormat="true" ht="13.5" hidden="false" customHeight="false" outlineLevel="0" collapsed="false">
      <c r="A363" s="363"/>
      <c r="B363" s="363"/>
      <c r="C363" s="363"/>
      <c r="D363" s="363"/>
      <c r="E363" s="363"/>
      <c r="F363" s="363"/>
      <c r="G363" s="363"/>
      <c r="H363" s="363"/>
    </row>
    <row r="364" s="73" customFormat="true" ht="13.5" hidden="false" customHeight="false" outlineLevel="0" collapsed="false">
      <c r="A364" s="363"/>
      <c r="B364" s="363"/>
      <c r="C364" s="363"/>
      <c r="D364" s="363"/>
      <c r="E364" s="363"/>
      <c r="F364" s="363"/>
      <c r="G364" s="363"/>
      <c r="H364" s="363"/>
    </row>
    <row r="365" s="73" customFormat="true" ht="13.5" hidden="false" customHeight="false" outlineLevel="0" collapsed="false">
      <c r="A365" s="363"/>
      <c r="B365" s="363"/>
      <c r="C365" s="363"/>
      <c r="D365" s="363"/>
      <c r="E365" s="363"/>
      <c r="F365" s="363"/>
      <c r="G365" s="363"/>
      <c r="H365" s="363"/>
    </row>
    <row r="366" s="73" customFormat="true" ht="13.5" hidden="false" customHeight="false" outlineLevel="0" collapsed="false">
      <c r="A366" s="363"/>
      <c r="B366" s="363"/>
      <c r="C366" s="363"/>
      <c r="D366" s="363"/>
      <c r="E366" s="363"/>
      <c r="F366" s="363"/>
      <c r="G366" s="363"/>
      <c r="H366" s="363"/>
    </row>
    <row r="367" s="73" customFormat="true" ht="13.5" hidden="false" customHeight="false" outlineLevel="0" collapsed="false">
      <c r="A367" s="363"/>
      <c r="B367" s="363"/>
      <c r="C367" s="363"/>
      <c r="D367" s="363"/>
      <c r="E367" s="363"/>
      <c r="F367" s="363"/>
      <c r="G367" s="363"/>
      <c r="H367" s="363"/>
    </row>
    <row r="368" s="73" customFormat="true" ht="13.5" hidden="false" customHeight="false" outlineLevel="0" collapsed="false">
      <c r="A368" s="363"/>
      <c r="B368" s="363"/>
      <c r="C368" s="363"/>
      <c r="D368" s="363"/>
      <c r="E368" s="363"/>
      <c r="F368" s="363"/>
      <c r="G368" s="363"/>
      <c r="H368" s="363"/>
    </row>
    <row r="369" s="73" customFormat="true" ht="13.5" hidden="false" customHeight="false" outlineLevel="0" collapsed="false">
      <c r="A369" s="363"/>
      <c r="B369" s="363"/>
      <c r="C369" s="363"/>
      <c r="D369" s="363"/>
      <c r="E369" s="363"/>
      <c r="F369" s="363"/>
      <c r="G369" s="363"/>
      <c r="H369" s="363"/>
    </row>
    <row r="370" s="73" customFormat="true" ht="13.5" hidden="false" customHeight="false" outlineLevel="0" collapsed="false">
      <c r="A370" s="363"/>
      <c r="B370" s="363"/>
      <c r="C370" s="363"/>
      <c r="D370" s="363"/>
      <c r="E370" s="363"/>
      <c r="F370" s="363"/>
      <c r="G370" s="363"/>
      <c r="H370" s="363"/>
    </row>
    <row r="371" s="73" customFormat="true" ht="13.5" hidden="false" customHeight="false" outlineLevel="0" collapsed="false">
      <c r="A371" s="363"/>
      <c r="B371" s="363"/>
      <c r="C371" s="363"/>
      <c r="D371" s="363"/>
      <c r="E371" s="363"/>
      <c r="F371" s="363"/>
      <c r="G371" s="363"/>
      <c r="H371" s="363"/>
    </row>
    <row r="372" s="73" customFormat="true" ht="13.5" hidden="false" customHeight="false" outlineLevel="0" collapsed="false">
      <c r="A372" s="363"/>
      <c r="B372" s="363"/>
      <c r="C372" s="363"/>
      <c r="D372" s="363"/>
      <c r="E372" s="363"/>
      <c r="F372" s="363"/>
      <c r="G372" s="363"/>
      <c r="H372" s="363"/>
    </row>
    <row r="373" s="73" customFormat="true" ht="13.5" hidden="false" customHeight="false" outlineLevel="0" collapsed="false">
      <c r="A373" s="363"/>
      <c r="B373" s="363"/>
      <c r="C373" s="363"/>
      <c r="D373" s="363"/>
      <c r="E373" s="363"/>
      <c r="F373" s="363"/>
      <c r="G373" s="363"/>
      <c r="H373" s="363"/>
    </row>
    <row r="374" s="73" customFormat="true" ht="13.5" hidden="false" customHeight="false" outlineLevel="0" collapsed="false">
      <c r="A374" s="363"/>
      <c r="B374" s="363"/>
      <c r="C374" s="363"/>
      <c r="D374" s="363"/>
      <c r="E374" s="363"/>
      <c r="F374" s="363"/>
      <c r="G374" s="363"/>
      <c r="H374" s="363"/>
    </row>
    <row r="375" s="73" customFormat="true" ht="13.5" hidden="false" customHeight="false" outlineLevel="0" collapsed="false">
      <c r="A375" s="363"/>
      <c r="B375" s="363"/>
      <c r="C375" s="363"/>
      <c r="D375" s="363"/>
      <c r="E375" s="363"/>
      <c r="F375" s="363"/>
      <c r="G375" s="363"/>
      <c r="H375" s="363"/>
    </row>
    <row r="376" s="73" customFormat="true" ht="13.5" hidden="false" customHeight="false" outlineLevel="0" collapsed="false">
      <c r="A376" s="363"/>
      <c r="B376" s="363"/>
      <c r="C376" s="363"/>
      <c r="D376" s="363"/>
      <c r="E376" s="363"/>
      <c r="F376" s="363"/>
      <c r="G376" s="363"/>
      <c r="H376" s="363"/>
    </row>
    <row r="377" s="73" customFormat="true" ht="13.5" hidden="false" customHeight="false" outlineLevel="0" collapsed="false">
      <c r="A377" s="363"/>
      <c r="B377" s="363"/>
      <c r="C377" s="363"/>
      <c r="D377" s="363"/>
      <c r="E377" s="363"/>
      <c r="F377" s="363"/>
      <c r="G377" s="363"/>
      <c r="H377" s="363"/>
    </row>
    <row r="378" s="73" customFormat="true" ht="13.5" hidden="false" customHeight="false" outlineLevel="0" collapsed="false">
      <c r="A378" s="363"/>
      <c r="B378" s="363"/>
      <c r="C378" s="363"/>
      <c r="D378" s="363"/>
      <c r="E378" s="363"/>
      <c r="F378" s="363"/>
      <c r="G378" s="363"/>
      <c r="H378" s="363"/>
    </row>
    <row r="379" s="73" customFormat="true" ht="13.5" hidden="false" customHeight="false" outlineLevel="0" collapsed="false">
      <c r="A379" s="363"/>
      <c r="B379" s="363"/>
      <c r="C379" s="363"/>
      <c r="D379" s="363"/>
      <c r="E379" s="363"/>
      <c r="F379" s="363"/>
      <c r="G379" s="363"/>
      <c r="H379" s="363"/>
    </row>
    <row r="380" s="73" customFormat="true" ht="13.5" hidden="false" customHeight="false" outlineLevel="0" collapsed="false">
      <c r="A380" s="363"/>
      <c r="B380" s="363"/>
      <c r="C380" s="363"/>
      <c r="D380" s="363"/>
      <c r="E380" s="363"/>
      <c r="F380" s="363"/>
      <c r="G380" s="363"/>
      <c r="H380" s="363"/>
    </row>
    <row r="381" s="73" customFormat="true" ht="13.5" hidden="false" customHeight="false" outlineLevel="0" collapsed="false">
      <c r="A381" s="363"/>
      <c r="B381" s="363"/>
      <c r="C381" s="363"/>
      <c r="D381" s="363"/>
      <c r="E381" s="363"/>
      <c r="F381" s="363"/>
      <c r="G381" s="363"/>
      <c r="H381" s="363"/>
    </row>
    <row r="382" s="73" customFormat="true" ht="13.5" hidden="false" customHeight="false" outlineLevel="0" collapsed="false">
      <c r="A382" s="363"/>
      <c r="B382" s="363"/>
      <c r="C382" s="363"/>
      <c r="D382" s="363"/>
      <c r="E382" s="363"/>
      <c r="F382" s="363"/>
      <c r="G382" s="363"/>
      <c r="H382" s="363"/>
    </row>
    <row r="383" s="73" customFormat="true" ht="13.5" hidden="false" customHeight="false" outlineLevel="0" collapsed="false">
      <c r="A383" s="363"/>
      <c r="B383" s="363"/>
      <c r="C383" s="363"/>
      <c r="D383" s="363"/>
      <c r="E383" s="363"/>
      <c r="F383" s="363"/>
      <c r="G383" s="363"/>
      <c r="H383" s="363"/>
    </row>
    <row r="384" s="73" customFormat="true" ht="13.5" hidden="false" customHeight="false" outlineLevel="0" collapsed="false">
      <c r="A384" s="363"/>
      <c r="B384" s="363"/>
      <c r="C384" s="363"/>
      <c r="D384" s="363"/>
      <c r="E384" s="363"/>
      <c r="F384" s="363"/>
      <c r="G384" s="363"/>
      <c r="H384" s="363"/>
    </row>
    <row r="385" s="73" customFormat="true" ht="13.5" hidden="false" customHeight="false" outlineLevel="0" collapsed="false">
      <c r="A385" s="363"/>
      <c r="B385" s="363"/>
      <c r="C385" s="363"/>
      <c r="D385" s="363"/>
      <c r="E385" s="363"/>
      <c r="F385" s="363"/>
      <c r="G385" s="363"/>
      <c r="H385" s="363"/>
    </row>
    <row r="386" s="73" customFormat="true" ht="13.5" hidden="false" customHeight="false" outlineLevel="0" collapsed="false">
      <c r="A386" s="363"/>
      <c r="B386" s="363"/>
      <c r="C386" s="363"/>
      <c r="D386" s="363"/>
      <c r="E386" s="363"/>
      <c r="F386" s="363"/>
      <c r="G386" s="363"/>
      <c r="H386" s="363"/>
    </row>
    <row r="387" s="73" customFormat="true" ht="13.5" hidden="false" customHeight="false" outlineLevel="0" collapsed="false">
      <c r="A387" s="363"/>
      <c r="B387" s="363"/>
      <c r="C387" s="363"/>
      <c r="D387" s="363"/>
      <c r="E387" s="363"/>
      <c r="F387" s="363"/>
      <c r="G387" s="363"/>
      <c r="H387" s="363"/>
    </row>
    <row r="388" s="73" customFormat="true" ht="13.5" hidden="false" customHeight="false" outlineLevel="0" collapsed="false">
      <c r="A388" s="363"/>
      <c r="B388" s="363"/>
      <c r="C388" s="363"/>
      <c r="D388" s="363"/>
      <c r="E388" s="363"/>
      <c r="F388" s="363"/>
      <c r="G388" s="363"/>
      <c r="H388" s="363"/>
    </row>
    <row r="389" s="73" customFormat="true" ht="13.5" hidden="false" customHeight="false" outlineLevel="0" collapsed="false">
      <c r="A389" s="363"/>
      <c r="B389" s="363"/>
      <c r="C389" s="363"/>
      <c r="D389" s="363"/>
      <c r="E389" s="363"/>
      <c r="F389" s="363"/>
      <c r="G389" s="363"/>
      <c r="H389" s="363"/>
    </row>
    <row r="390" s="73" customFormat="true" ht="13.5" hidden="false" customHeight="false" outlineLevel="0" collapsed="false">
      <c r="A390" s="363"/>
      <c r="B390" s="363"/>
      <c r="C390" s="363"/>
      <c r="D390" s="363"/>
      <c r="E390" s="363"/>
      <c r="F390" s="363"/>
      <c r="G390" s="363"/>
      <c r="H390" s="363"/>
    </row>
    <row r="391" s="73" customFormat="true" ht="13.5" hidden="false" customHeight="false" outlineLevel="0" collapsed="false">
      <c r="A391" s="363"/>
      <c r="B391" s="363"/>
      <c r="C391" s="363"/>
      <c r="D391" s="363"/>
      <c r="E391" s="363"/>
      <c r="F391" s="363"/>
      <c r="G391" s="363"/>
      <c r="H391" s="363"/>
    </row>
    <row r="392" s="73" customFormat="true" ht="13.5" hidden="false" customHeight="false" outlineLevel="0" collapsed="false">
      <c r="A392" s="363"/>
      <c r="B392" s="363"/>
      <c r="C392" s="363"/>
      <c r="D392" s="363"/>
      <c r="E392" s="363"/>
      <c r="F392" s="363"/>
      <c r="G392" s="363"/>
      <c r="H392" s="363"/>
    </row>
    <row r="393" s="73" customFormat="true" ht="13.5" hidden="false" customHeight="false" outlineLevel="0" collapsed="false">
      <c r="A393" s="363"/>
      <c r="B393" s="363"/>
      <c r="C393" s="363"/>
      <c r="D393" s="363"/>
      <c r="E393" s="363"/>
      <c r="F393" s="363"/>
      <c r="G393" s="363"/>
      <c r="H393" s="363"/>
    </row>
    <row r="394" s="73" customFormat="true" ht="13.5" hidden="false" customHeight="false" outlineLevel="0" collapsed="false">
      <c r="A394" s="363"/>
      <c r="B394" s="363"/>
      <c r="C394" s="363"/>
      <c r="D394" s="363"/>
      <c r="E394" s="363"/>
      <c r="F394" s="363"/>
      <c r="G394" s="363"/>
      <c r="H394" s="363"/>
    </row>
    <row r="395" s="73" customFormat="true" ht="13.5" hidden="false" customHeight="false" outlineLevel="0" collapsed="false">
      <c r="A395" s="363"/>
      <c r="B395" s="363"/>
      <c r="C395" s="363"/>
      <c r="D395" s="363"/>
      <c r="E395" s="363"/>
      <c r="F395" s="363"/>
      <c r="G395" s="363"/>
      <c r="H395" s="363"/>
    </row>
    <row r="396" s="73" customFormat="true" ht="13.5" hidden="false" customHeight="false" outlineLevel="0" collapsed="false">
      <c r="A396" s="363"/>
      <c r="B396" s="363"/>
      <c r="C396" s="363"/>
      <c r="D396" s="363"/>
      <c r="E396" s="363"/>
      <c r="F396" s="363"/>
      <c r="G396" s="363"/>
      <c r="H396" s="363"/>
    </row>
    <row r="397" s="73" customFormat="true" ht="13.5" hidden="false" customHeight="false" outlineLevel="0" collapsed="false">
      <c r="A397" s="363"/>
      <c r="B397" s="363"/>
      <c r="C397" s="363"/>
      <c r="D397" s="363"/>
      <c r="E397" s="363"/>
      <c r="F397" s="363"/>
      <c r="G397" s="363"/>
      <c r="H397" s="363"/>
    </row>
    <row r="398" s="73" customFormat="true" ht="13.5" hidden="false" customHeight="false" outlineLevel="0" collapsed="false">
      <c r="A398" s="363"/>
      <c r="B398" s="363"/>
      <c r="C398" s="363"/>
      <c r="D398" s="363"/>
      <c r="E398" s="363"/>
      <c r="F398" s="363"/>
      <c r="G398" s="363"/>
      <c r="H398" s="363"/>
    </row>
    <row r="399" s="73" customFormat="true" ht="13.5" hidden="false" customHeight="false" outlineLevel="0" collapsed="false">
      <c r="A399" s="363"/>
      <c r="B399" s="363"/>
      <c r="C399" s="363"/>
      <c r="D399" s="363"/>
      <c r="E399" s="363"/>
      <c r="F399" s="363"/>
      <c r="G399" s="363"/>
      <c r="H399" s="363"/>
    </row>
    <row r="400" s="73" customFormat="true" ht="13.5" hidden="false" customHeight="false" outlineLevel="0" collapsed="false">
      <c r="A400" s="363"/>
      <c r="B400" s="363"/>
      <c r="C400" s="363"/>
      <c r="D400" s="363"/>
      <c r="E400" s="363"/>
      <c r="F400" s="363"/>
      <c r="G400" s="363"/>
      <c r="H400" s="363"/>
    </row>
    <row r="401" s="73" customFormat="true" ht="13.5" hidden="false" customHeight="false" outlineLevel="0" collapsed="false">
      <c r="A401" s="363"/>
      <c r="B401" s="363"/>
      <c r="C401" s="363"/>
      <c r="D401" s="363"/>
      <c r="E401" s="363"/>
      <c r="F401" s="363"/>
      <c r="G401" s="363"/>
      <c r="H401" s="363"/>
    </row>
    <row r="402" s="73" customFormat="true" ht="13.5" hidden="false" customHeight="false" outlineLevel="0" collapsed="false">
      <c r="A402" s="363"/>
      <c r="B402" s="363"/>
      <c r="C402" s="363"/>
      <c r="D402" s="363"/>
      <c r="E402" s="363"/>
      <c r="F402" s="363"/>
      <c r="G402" s="363"/>
      <c r="H402" s="363"/>
    </row>
    <row r="403" s="73" customFormat="true" ht="13.5" hidden="false" customHeight="false" outlineLevel="0" collapsed="false">
      <c r="A403" s="363"/>
      <c r="B403" s="363"/>
      <c r="C403" s="363"/>
      <c r="D403" s="363"/>
      <c r="E403" s="363"/>
      <c r="F403" s="363"/>
      <c r="G403" s="363"/>
      <c r="H403" s="363"/>
    </row>
    <row r="404" s="73" customFormat="true" ht="13.5" hidden="false" customHeight="false" outlineLevel="0" collapsed="false">
      <c r="A404" s="363"/>
      <c r="B404" s="363"/>
      <c r="C404" s="363"/>
      <c r="D404" s="363"/>
      <c r="E404" s="363"/>
      <c r="F404" s="363"/>
      <c r="G404" s="363"/>
      <c r="H404" s="363"/>
    </row>
    <row r="405" s="73" customFormat="true" ht="13.5" hidden="false" customHeight="false" outlineLevel="0" collapsed="false">
      <c r="A405" s="363"/>
      <c r="B405" s="363"/>
      <c r="C405" s="363"/>
      <c r="D405" s="363"/>
      <c r="E405" s="363"/>
      <c r="F405" s="363"/>
      <c r="G405" s="363"/>
      <c r="H405" s="363"/>
    </row>
    <row r="406" s="73" customFormat="true" ht="13.5" hidden="false" customHeight="false" outlineLevel="0" collapsed="false">
      <c r="A406" s="363"/>
      <c r="B406" s="363"/>
      <c r="C406" s="363"/>
      <c r="D406" s="363"/>
      <c r="E406" s="363"/>
      <c r="F406" s="363"/>
      <c r="G406" s="363"/>
      <c r="H406" s="363"/>
    </row>
    <row r="407" s="73" customFormat="true" ht="13.5" hidden="false" customHeight="false" outlineLevel="0" collapsed="false">
      <c r="A407" s="363"/>
      <c r="B407" s="363"/>
      <c r="C407" s="363"/>
      <c r="D407" s="363"/>
      <c r="E407" s="363"/>
      <c r="F407" s="363"/>
      <c r="G407" s="363"/>
      <c r="H407" s="363"/>
    </row>
    <row r="408" s="73" customFormat="true" ht="13.5" hidden="false" customHeight="false" outlineLevel="0" collapsed="false">
      <c r="A408" s="363"/>
      <c r="B408" s="363"/>
      <c r="C408" s="363"/>
      <c r="D408" s="363"/>
      <c r="E408" s="363"/>
      <c r="F408" s="363"/>
      <c r="G408" s="363"/>
      <c r="H408" s="363"/>
    </row>
    <row r="409" s="73" customFormat="true" ht="13.5" hidden="false" customHeight="false" outlineLevel="0" collapsed="false">
      <c r="A409" s="363"/>
      <c r="B409" s="363"/>
      <c r="C409" s="363"/>
      <c r="D409" s="363"/>
      <c r="E409" s="363"/>
      <c r="F409" s="363"/>
      <c r="G409" s="363"/>
      <c r="H409" s="363"/>
    </row>
    <row r="410" s="73" customFormat="true" ht="13.5" hidden="false" customHeight="false" outlineLevel="0" collapsed="false">
      <c r="A410" s="363"/>
      <c r="B410" s="363"/>
      <c r="C410" s="363"/>
      <c r="D410" s="363"/>
      <c r="E410" s="363"/>
      <c r="F410" s="363"/>
      <c r="G410" s="363"/>
      <c r="H410" s="363"/>
    </row>
    <row r="411" s="73" customFormat="true" ht="13.5" hidden="false" customHeight="false" outlineLevel="0" collapsed="false">
      <c r="A411" s="363"/>
      <c r="B411" s="363"/>
      <c r="C411" s="363"/>
      <c r="D411" s="363"/>
      <c r="E411" s="363"/>
      <c r="F411" s="363"/>
      <c r="G411" s="363"/>
      <c r="H411" s="363"/>
    </row>
    <row r="412" s="73" customFormat="true" ht="13.5" hidden="false" customHeight="false" outlineLevel="0" collapsed="false">
      <c r="A412" s="363"/>
      <c r="B412" s="363"/>
      <c r="C412" s="363"/>
      <c r="D412" s="363"/>
      <c r="E412" s="363"/>
      <c r="F412" s="363"/>
      <c r="G412" s="363"/>
      <c r="H412" s="363"/>
    </row>
    <row r="413" s="73" customFormat="true" ht="13.5" hidden="false" customHeight="false" outlineLevel="0" collapsed="false">
      <c r="A413" s="363"/>
      <c r="B413" s="363"/>
      <c r="C413" s="363"/>
      <c r="D413" s="363"/>
      <c r="E413" s="363"/>
      <c r="F413" s="363"/>
      <c r="G413" s="363"/>
      <c r="H413" s="363"/>
    </row>
    <row r="414" s="73" customFormat="true" ht="13.5" hidden="false" customHeight="false" outlineLevel="0" collapsed="false">
      <c r="A414" s="363"/>
      <c r="B414" s="363"/>
      <c r="C414" s="363"/>
      <c r="D414" s="363"/>
      <c r="E414" s="363"/>
      <c r="F414" s="363"/>
      <c r="G414" s="363"/>
      <c r="H414" s="363"/>
    </row>
    <row r="415" s="73" customFormat="true" ht="13.5" hidden="false" customHeight="false" outlineLevel="0" collapsed="false">
      <c r="A415" s="363"/>
      <c r="B415" s="363"/>
      <c r="C415" s="363"/>
      <c r="D415" s="363"/>
      <c r="E415" s="363"/>
      <c r="F415" s="363"/>
      <c r="G415" s="363"/>
      <c r="H415" s="363"/>
    </row>
    <row r="416" s="73" customFormat="true" ht="13.5" hidden="false" customHeight="false" outlineLevel="0" collapsed="false">
      <c r="A416" s="363"/>
      <c r="B416" s="363"/>
      <c r="C416" s="363"/>
      <c r="D416" s="363"/>
      <c r="E416" s="363"/>
      <c r="F416" s="363"/>
      <c r="G416" s="363"/>
      <c r="H416" s="363"/>
    </row>
    <row r="417" s="73" customFormat="true" ht="13.5" hidden="false" customHeight="false" outlineLevel="0" collapsed="false">
      <c r="A417" s="363"/>
      <c r="B417" s="363"/>
      <c r="C417" s="363"/>
      <c r="D417" s="363"/>
      <c r="E417" s="363"/>
      <c r="F417" s="363"/>
      <c r="G417" s="363"/>
      <c r="H417" s="363"/>
    </row>
    <row r="418" s="73" customFormat="true" ht="13.5" hidden="false" customHeight="false" outlineLevel="0" collapsed="false">
      <c r="A418" s="363"/>
      <c r="B418" s="363"/>
      <c r="C418" s="363"/>
      <c r="D418" s="363"/>
      <c r="E418" s="363"/>
      <c r="F418" s="363"/>
      <c r="G418" s="363"/>
      <c r="H418" s="363"/>
    </row>
    <row r="419" customFormat="false" ht="13.5" hidden="false" customHeight="false" outlineLevel="0" collapsed="false">
      <c r="A419" s="73"/>
      <c r="B419" s="73"/>
      <c r="C419" s="73"/>
      <c r="D419" s="73"/>
      <c r="E419" s="73"/>
      <c r="F419" s="73"/>
      <c r="G419" s="73"/>
      <c r="H419" s="73"/>
    </row>
  </sheetData>
  <mergeCells count="4">
    <mergeCell ref="A32:H32"/>
    <mergeCell ref="A48:H48"/>
    <mergeCell ref="A87:A88"/>
    <mergeCell ref="A89:A90"/>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18.xml><?xml version="1.0" encoding="utf-8"?>
<worksheet xmlns="http://schemas.openxmlformats.org/spreadsheetml/2006/main" xmlns:r="http://schemas.openxmlformats.org/officeDocument/2006/relationships">
  <sheetPr filterMode="false">
    <tabColor rgb="FFFF0000"/>
    <pageSetUpPr fitToPage="false"/>
  </sheetPr>
  <dimension ref="A1:EH342"/>
  <sheetViews>
    <sheetView windowProtection="false" showFormulas="false" showGridLines="true" showRowColHeaders="true" showZeros="true" rightToLeft="false" tabSelected="false" showOutlineSymbols="true" defaultGridColor="true" view="normal" topLeftCell="A223" colorId="64" zoomScale="90" zoomScaleNormal="90" zoomScalePageLayoutView="100" workbookViewId="0">
      <selection pane="topLeft" activeCell="G258" activeCellId="0" sqref="G258"/>
    </sheetView>
  </sheetViews>
  <sheetFormatPr defaultRowHeight="12"/>
  <cols>
    <col collapsed="false" hidden="false" max="1" min="1" style="406" width="12.5561224489796"/>
    <col collapsed="false" hidden="false" max="2" min="2" style="406" width="14.3112244897959"/>
    <col collapsed="false" hidden="false" max="3" min="3" style="406" width="11.6071428571429"/>
    <col collapsed="false" hidden="false" max="4" min="4" style="406" width="11.0714285714286"/>
    <col collapsed="false" hidden="false" max="5" min="5" style="406" width="11.8775510204082"/>
    <col collapsed="false" hidden="false" max="7" min="6" style="406" width="11.6071428571429"/>
    <col collapsed="false" hidden="false" max="8" min="8" style="407" width="11.4744897959184"/>
    <col collapsed="false" hidden="false" max="11" min="9" style="407" width="11.2040816326531"/>
    <col collapsed="false" hidden="false" max="32" min="12" style="408" width="11.2040816326531"/>
    <col collapsed="false" hidden="false" max="1025" min="33" style="406" width="11.2040816326531"/>
  </cols>
  <sheetData>
    <row r="1" customFormat="false" ht="12" hidden="false" customHeight="true" outlineLevel="0" collapsed="false">
      <c r="A1" s="150"/>
      <c r="B1" s="150"/>
      <c r="C1" s="150"/>
      <c r="D1" s="150"/>
      <c r="E1" s="150"/>
      <c r="F1" s="150"/>
      <c r="G1" s="150"/>
      <c r="H1" s="155"/>
      <c r="AG1" s="408"/>
      <c r="AH1" s="408"/>
      <c r="AI1" s="408"/>
      <c r="AJ1" s="408"/>
      <c r="AK1" s="408"/>
      <c r="AL1" s="408"/>
      <c r="AM1" s="408"/>
      <c r="AN1" s="408"/>
      <c r="AO1" s="408"/>
      <c r="AP1" s="408"/>
      <c r="AQ1" s="408"/>
      <c r="AR1" s="408"/>
      <c r="AS1" s="408"/>
      <c r="AT1" s="408"/>
      <c r="AU1" s="408"/>
      <c r="AV1" s="408"/>
      <c r="AW1" s="408"/>
      <c r="AX1" s="408"/>
      <c r="AY1" s="408"/>
      <c r="AZ1" s="408"/>
      <c r="BA1" s="408"/>
      <c r="BB1" s="408"/>
      <c r="BC1" s="408"/>
      <c r="BD1" s="408"/>
      <c r="BE1" s="408"/>
      <c r="BF1" s="408"/>
      <c r="BG1" s="408"/>
      <c r="BH1" s="408"/>
      <c r="BI1" s="408"/>
      <c r="BJ1" s="408"/>
      <c r="BK1" s="408"/>
      <c r="BL1" s="408"/>
      <c r="BM1" s="408"/>
      <c r="BN1" s="408"/>
      <c r="BO1" s="408"/>
      <c r="BP1" s="408"/>
      <c r="BQ1" s="408"/>
      <c r="BR1" s="408"/>
      <c r="BS1" s="408"/>
      <c r="BT1" s="408"/>
      <c r="BU1" s="408"/>
      <c r="BV1" s="408"/>
      <c r="BW1" s="408"/>
      <c r="BX1" s="408"/>
      <c r="BY1" s="408"/>
      <c r="BZ1" s="408"/>
      <c r="CA1" s="408"/>
      <c r="CB1" s="408"/>
      <c r="CC1" s="408"/>
      <c r="CD1" s="408"/>
      <c r="CE1" s="408"/>
      <c r="CF1" s="408"/>
      <c r="CG1" s="408"/>
      <c r="CH1" s="408"/>
      <c r="CI1" s="408"/>
      <c r="CJ1" s="408"/>
      <c r="CK1" s="408"/>
      <c r="CL1" s="408"/>
      <c r="CM1" s="408"/>
      <c r="CN1" s="408"/>
      <c r="CO1" s="408"/>
      <c r="CP1" s="408"/>
      <c r="CQ1" s="408"/>
      <c r="CR1" s="408"/>
      <c r="CS1" s="408"/>
      <c r="CT1" s="408"/>
      <c r="CU1" s="408"/>
      <c r="CV1" s="408"/>
      <c r="CW1" s="408"/>
      <c r="CX1" s="408"/>
      <c r="CY1" s="408"/>
      <c r="CZ1" s="408"/>
      <c r="DA1" s="408"/>
      <c r="DB1" s="408"/>
      <c r="DC1" s="408"/>
      <c r="DD1" s="408"/>
      <c r="DE1" s="408"/>
      <c r="DF1" s="408"/>
      <c r="DG1" s="408"/>
      <c r="DH1" s="408"/>
      <c r="DI1" s="408"/>
      <c r="DJ1" s="408"/>
      <c r="DK1" s="408"/>
      <c r="DL1" s="408"/>
      <c r="DM1" s="408"/>
      <c r="DN1" s="408"/>
      <c r="DO1" s="408"/>
      <c r="DP1" s="408"/>
      <c r="DQ1" s="408"/>
      <c r="DR1" s="408"/>
      <c r="DS1" s="408"/>
      <c r="DT1" s="408"/>
      <c r="DU1" s="408"/>
      <c r="DV1" s="408"/>
      <c r="DW1" s="408"/>
      <c r="DX1" s="408"/>
      <c r="DY1" s="408"/>
      <c r="DZ1" s="408"/>
      <c r="EA1" s="408"/>
      <c r="EB1" s="408"/>
      <c r="EC1" s="408"/>
      <c r="ED1" s="408"/>
      <c r="EE1" s="408"/>
      <c r="EF1" s="408"/>
      <c r="EG1" s="408"/>
      <c r="EH1" s="408"/>
    </row>
    <row r="2" customFormat="false" ht="12" hidden="false" customHeight="true" outlineLevel="0" collapsed="false">
      <c r="A2" s="150"/>
      <c r="B2" s="150"/>
      <c r="C2" s="150"/>
      <c r="D2" s="150"/>
      <c r="E2" s="150"/>
      <c r="F2" s="150"/>
      <c r="G2" s="150"/>
      <c r="H2" s="155"/>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408"/>
      <c r="BF2" s="408"/>
      <c r="BG2" s="408"/>
      <c r="BH2" s="408"/>
      <c r="BI2" s="408"/>
      <c r="BJ2" s="408"/>
      <c r="BK2" s="408"/>
      <c r="BL2" s="408"/>
      <c r="BM2" s="408"/>
      <c r="BN2" s="408"/>
      <c r="BO2" s="408"/>
      <c r="BP2" s="408"/>
      <c r="BQ2" s="408"/>
      <c r="BR2" s="408"/>
      <c r="BS2" s="408"/>
      <c r="BT2" s="408"/>
      <c r="BU2" s="408"/>
      <c r="BV2" s="408"/>
      <c r="BW2" s="408"/>
      <c r="BX2" s="408"/>
      <c r="BY2" s="408"/>
      <c r="BZ2" s="408"/>
      <c r="CA2" s="408"/>
      <c r="CB2" s="408"/>
      <c r="CC2" s="408"/>
      <c r="CD2" s="408"/>
      <c r="CE2" s="408"/>
      <c r="CF2" s="408"/>
      <c r="CG2" s="408"/>
      <c r="CH2" s="408"/>
      <c r="CI2" s="408"/>
      <c r="CJ2" s="408"/>
      <c r="CK2" s="408"/>
      <c r="CL2" s="408"/>
      <c r="CM2" s="408"/>
      <c r="CN2" s="408"/>
      <c r="CO2" s="408"/>
      <c r="CP2" s="408"/>
      <c r="CQ2" s="408"/>
      <c r="CR2" s="408"/>
      <c r="CS2" s="408"/>
      <c r="CT2" s="408"/>
      <c r="CU2" s="408"/>
      <c r="CV2" s="408"/>
      <c r="CW2" s="408"/>
      <c r="CX2" s="408"/>
      <c r="CY2" s="408"/>
      <c r="CZ2" s="408"/>
      <c r="DA2" s="408"/>
      <c r="DB2" s="408"/>
      <c r="DC2" s="408"/>
      <c r="DD2" s="408"/>
      <c r="DE2" s="408"/>
      <c r="DF2" s="408"/>
      <c r="DG2" s="408"/>
      <c r="DH2" s="408"/>
      <c r="DI2" s="408"/>
      <c r="DJ2" s="408"/>
      <c r="DK2" s="408"/>
      <c r="DL2" s="408"/>
      <c r="DM2" s="408"/>
      <c r="DN2" s="408"/>
      <c r="DO2" s="408"/>
      <c r="DP2" s="408"/>
      <c r="DQ2" s="408"/>
      <c r="DR2" s="408"/>
      <c r="DS2" s="408"/>
      <c r="DT2" s="408"/>
      <c r="DU2" s="408"/>
      <c r="DV2" s="408"/>
      <c r="DW2" s="408"/>
      <c r="DX2" s="408"/>
      <c r="DY2" s="408"/>
      <c r="DZ2" s="408"/>
      <c r="EA2" s="408"/>
      <c r="EB2" s="408"/>
      <c r="EC2" s="408"/>
      <c r="ED2" s="408"/>
      <c r="EE2" s="408"/>
      <c r="EF2" s="408"/>
      <c r="EG2" s="408"/>
      <c r="EH2" s="408"/>
    </row>
    <row r="3" customFormat="false" ht="12" hidden="false" customHeight="true" outlineLevel="0" collapsed="false">
      <c r="A3" s="150"/>
      <c r="B3" s="409" t="n">
        <v>2005</v>
      </c>
      <c r="C3" s="409" t="n">
        <f aca="false">B3+1</f>
        <v>2006</v>
      </c>
      <c r="D3" s="409" t="n">
        <f aca="false">C3+1</f>
        <v>2007</v>
      </c>
      <c r="E3" s="409" t="n">
        <f aca="false">D3+1</f>
        <v>2008</v>
      </c>
      <c r="F3" s="409" t="n">
        <f aca="false">E3+1</f>
        <v>2009</v>
      </c>
      <c r="G3" s="409" t="n">
        <f aca="false">F3+1</f>
        <v>2010</v>
      </c>
      <c r="H3" s="410"/>
      <c r="I3" s="411"/>
      <c r="J3" s="411"/>
      <c r="AG3" s="408"/>
      <c r="AH3" s="408"/>
      <c r="AI3" s="408"/>
      <c r="AJ3" s="408"/>
      <c r="AK3" s="408"/>
      <c r="AL3" s="408"/>
      <c r="AM3" s="408"/>
      <c r="AN3" s="408"/>
      <c r="AO3" s="408"/>
      <c r="AP3" s="408"/>
      <c r="AQ3" s="408"/>
      <c r="AR3" s="408"/>
      <c r="AS3" s="408"/>
      <c r="AT3" s="408"/>
      <c r="AU3" s="408"/>
      <c r="AV3" s="408"/>
      <c r="AW3" s="408"/>
      <c r="AX3" s="408"/>
      <c r="AY3" s="408"/>
      <c r="AZ3" s="408"/>
      <c r="BA3" s="408"/>
      <c r="BB3" s="408"/>
      <c r="BC3" s="408"/>
      <c r="BD3" s="408"/>
      <c r="BE3" s="408"/>
      <c r="BF3" s="408"/>
      <c r="BG3" s="408"/>
      <c r="BH3" s="408"/>
      <c r="BI3" s="408"/>
      <c r="BJ3" s="408"/>
      <c r="BK3" s="408"/>
      <c r="BL3" s="408"/>
      <c r="BM3" s="408"/>
      <c r="BN3" s="408"/>
      <c r="BO3" s="408"/>
      <c r="BP3" s="408"/>
      <c r="BQ3" s="408"/>
      <c r="BR3" s="408"/>
      <c r="BS3" s="408"/>
      <c r="BT3" s="408"/>
      <c r="BU3" s="408"/>
      <c r="BV3" s="408"/>
      <c r="BW3" s="408"/>
      <c r="BX3" s="408"/>
      <c r="BY3" s="408"/>
      <c r="BZ3" s="408"/>
      <c r="CA3" s="408"/>
      <c r="CB3" s="408"/>
      <c r="CC3" s="408"/>
      <c r="CD3" s="408"/>
      <c r="CE3" s="408"/>
      <c r="CF3" s="408"/>
      <c r="CG3" s="408"/>
      <c r="CH3" s="408"/>
      <c r="CI3" s="408"/>
      <c r="CJ3" s="408"/>
      <c r="CK3" s="408"/>
      <c r="CL3" s="408"/>
      <c r="CM3" s="408"/>
      <c r="CN3" s="408"/>
      <c r="CO3" s="408"/>
      <c r="CP3" s="408"/>
      <c r="CQ3" s="408"/>
      <c r="CR3" s="408"/>
      <c r="CS3" s="408"/>
      <c r="CT3" s="408"/>
      <c r="CU3" s="408"/>
      <c r="CV3" s="408"/>
      <c r="CW3" s="408"/>
      <c r="CX3" s="408"/>
      <c r="CY3" s="408"/>
      <c r="CZ3" s="408"/>
      <c r="DA3" s="408"/>
      <c r="DB3" s="408"/>
      <c r="DC3" s="408"/>
      <c r="DD3" s="408"/>
      <c r="DE3" s="408"/>
      <c r="DF3" s="408"/>
      <c r="DG3" s="408"/>
      <c r="DH3" s="408"/>
      <c r="DI3" s="408"/>
      <c r="DJ3" s="408"/>
      <c r="DK3" s="408"/>
      <c r="DL3" s="408"/>
      <c r="DM3" s="408"/>
      <c r="DN3" s="408"/>
      <c r="DO3" s="408"/>
      <c r="DP3" s="408"/>
      <c r="DQ3" s="408"/>
      <c r="DR3" s="408"/>
      <c r="DS3" s="408"/>
      <c r="DT3" s="408"/>
      <c r="DU3" s="408"/>
      <c r="DV3" s="408"/>
      <c r="DW3" s="408"/>
      <c r="DX3" s="408"/>
      <c r="DY3" s="408"/>
      <c r="DZ3" s="408"/>
      <c r="EA3" s="408"/>
      <c r="EB3" s="408"/>
      <c r="EC3" s="408"/>
      <c r="ED3" s="408"/>
      <c r="EE3" s="408"/>
      <c r="EF3" s="408"/>
      <c r="EG3" s="408"/>
      <c r="EH3" s="408"/>
    </row>
    <row r="4" customFormat="false" ht="12" hidden="false" customHeight="true" outlineLevel="0" collapsed="false">
      <c r="A4" s="75" t="s">
        <v>402</v>
      </c>
      <c r="B4" s="412" t="n">
        <f aca="false">'0.DADES'!D13</f>
        <v>11037</v>
      </c>
      <c r="C4" s="412" t="n">
        <f aca="false">'0.DADES'!E13</f>
        <v>11594</v>
      </c>
      <c r="D4" s="412" t="n">
        <f aca="false">'0.DADES'!F13</f>
        <v>12091</v>
      </c>
      <c r="E4" s="412" t="n">
        <f aca="false">'0.DADES'!G13</f>
        <v>12406</v>
      </c>
      <c r="F4" s="412" t="n">
        <f aca="false">'0.DADES'!H13</f>
        <v>12789</v>
      </c>
      <c r="G4" s="412" t="n">
        <f aca="false">'0.DADES'!I13</f>
        <v>12731</v>
      </c>
      <c r="H4" s="413"/>
      <c r="I4" s="414"/>
      <c r="J4" s="414"/>
      <c r="AG4" s="408"/>
      <c r="AH4" s="408"/>
      <c r="AI4" s="408"/>
      <c r="AJ4" s="408"/>
      <c r="AK4" s="408"/>
      <c r="AL4" s="408"/>
      <c r="AM4" s="408"/>
      <c r="AN4" s="408"/>
      <c r="AO4" s="408"/>
      <c r="AP4" s="408"/>
      <c r="AQ4" s="408"/>
      <c r="AR4" s="408"/>
      <c r="AS4" s="408"/>
      <c r="AT4" s="408"/>
      <c r="AU4" s="408"/>
      <c r="AV4" s="408"/>
      <c r="AW4" s="408"/>
      <c r="AX4" s="408"/>
      <c r="AY4" s="408"/>
      <c r="AZ4" s="408"/>
      <c r="BA4" s="408"/>
      <c r="BB4" s="408"/>
      <c r="BC4" s="408"/>
      <c r="BD4" s="408"/>
      <c r="BE4" s="408"/>
      <c r="BF4" s="408"/>
      <c r="BG4" s="408"/>
      <c r="BH4" s="408"/>
      <c r="BI4" s="408"/>
      <c r="BJ4" s="408"/>
      <c r="BK4" s="408"/>
      <c r="BL4" s="408"/>
      <c r="BM4" s="408"/>
      <c r="BN4" s="408"/>
      <c r="BO4" s="408"/>
      <c r="BP4" s="408"/>
      <c r="BQ4" s="408"/>
      <c r="BR4" s="408"/>
      <c r="BS4" s="408"/>
      <c r="BT4" s="408"/>
      <c r="BU4" s="408"/>
      <c r="BV4" s="408"/>
      <c r="BW4" s="408"/>
      <c r="BX4" s="408"/>
      <c r="BY4" s="408"/>
      <c r="BZ4" s="408"/>
      <c r="CA4" s="408"/>
      <c r="CB4" s="408"/>
      <c r="CC4" s="408"/>
      <c r="CD4" s="408"/>
      <c r="CE4" s="408"/>
      <c r="CF4" s="408"/>
      <c r="CG4" s="408"/>
      <c r="CH4" s="408"/>
      <c r="CI4" s="408"/>
      <c r="CJ4" s="408"/>
      <c r="CK4" s="408"/>
      <c r="CL4" s="408"/>
      <c r="CM4" s="408"/>
      <c r="CN4" s="408"/>
      <c r="CO4" s="408"/>
      <c r="CP4" s="408"/>
      <c r="CQ4" s="408"/>
      <c r="CR4" s="408"/>
      <c r="CS4" s="408"/>
      <c r="CT4" s="408"/>
      <c r="CU4" s="408"/>
      <c r="CV4" s="408"/>
      <c r="CW4" s="408"/>
      <c r="CX4" s="408"/>
      <c r="CY4" s="408"/>
      <c r="CZ4" s="408"/>
      <c r="DA4" s="408"/>
      <c r="DB4" s="408"/>
      <c r="DC4" s="408"/>
      <c r="DD4" s="408"/>
      <c r="DE4" s="408"/>
      <c r="DF4" s="408"/>
      <c r="DG4" s="408"/>
      <c r="DH4" s="408"/>
      <c r="DI4" s="408"/>
      <c r="DJ4" s="408"/>
      <c r="DK4" s="408"/>
      <c r="DL4" s="408"/>
      <c r="DM4" s="408"/>
      <c r="DN4" s="408"/>
      <c r="DO4" s="408"/>
      <c r="DP4" s="408"/>
      <c r="DQ4" s="408"/>
      <c r="DR4" s="408"/>
      <c r="DS4" s="408"/>
      <c r="DT4" s="408"/>
      <c r="DU4" s="408"/>
      <c r="DV4" s="408"/>
      <c r="DW4" s="408"/>
      <c r="DX4" s="408"/>
      <c r="DY4" s="408"/>
      <c r="DZ4" s="408"/>
      <c r="EA4" s="408"/>
      <c r="EB4" s="408"/>
      <c r="EC4" s="408"/>
      <c r="ED4" s="408"/>
      <c r="EE4" s="408"/>
      <c r="EF4" s="408"/>
      <c r="EG4" s="408"/>
      <c r="EH4" s="408"/>
    </row>
    <row r="5" customFormat="false" ht="12" hidden="false" customHeight="true" outlineLevel="0" collapsed="false">
      <c r="A5" s="150"/>
      <c r="B5" s="150"/>
      <c r="C5" s="150"/>
      <c r="D5" s="150"/>
      <c r="E5" s="150"/>
      <c r="F5" s="150"/>
      <c r="G5" s="150"/>
      <c r="H5" s="413"/>
      <c r="I5" s="414"/>
      <c r="J5" s="414"/>
      <c r="AG5" s="408"/>
      <c r="AH5" s="408"/>
      <c r="AI5" s="408"/>
      <c r="AJ5" s="408"/>
      <c r="AK5" s="408"/>
      <c r="AL5" s="408"/>
      <c r="AM5" s="408"/>
      <c r="AN5" s="408"/>
      <c r="AO5" s="408"/>
      <c r="AP5" s="408"/>
      <c r="AQ5" s="408"/>
      <c r="AR5" s="408"/>
      <c r="AS5" s="408"/>
      <c r="AT5" s="408"/>
      <c r="AU5" s="408"/>
      <c r="AV5" s="408"/>
      <c r="AW5" s="408"/>
      <c r="AX5" s="408"/>
      <c r="AY5" s="408"/>
      <c r="AZ5" s="408"/>
      <c r="BA5" s="408"/>
      <c r="BB5" s="408"/>
      <c r="BC5" s="408"/>
      <c r="BD5" s="408"/>
      <c r="BE5" s="408"/>
      <c r="BF5" s="408"/>
      <c r="BG5" s="408"/>
      <c r="BH5" s="408"/>
      <c r="BI5" s="408"/>
      <c r="BJ5" s="408"/>
      <c r="BK5" s="408"/>
      <c r="BL5" s="408"/>
      <c r="BM5" s="408"/>
      <c r="BN5" s="408"/>
      <c r="BO5" s="408"/>
      <c r="BP5" s="408"/>
      <c r="BQ5" s="408"/>
      <c r="BR5" s="408"/>
      <c r="BS5" s="408"/>
      <c r="BT5" s="408"/>
      <c r="BU5" s="408"/>
      <c r="BV5" s="408"/>
      <c r="BW5" s="408"/>
      <c r="BX5" s="408"/>
      <c r="BY5" s="408"/>
      <c r="BZ5" s="408"/>
      <c r="CA5" s="408"/>
      <c r="CB5" s="408"/>
      <c r="CC5" s="408"/>
      <c r="CD5" s="408"/>
      <c r="CE5" s="408"/>
      <c r="CF5" s="408"/>
      <c r="CG5" s="408"/>
      <c r="CH5" s="408"/>
      <c r="CI5" s="408"/>
      <c r="CJ5" s="408"/>
      <c r="CK5" s="408"/>
      <c r="CL5" s="408"/>
      <c r="CM5" s="408"/>
      <c r="CN5" s="408"/>
      <c r="CO5" s="408"/>
      <c r="CP5" s="408"/>
      <c r="CQ5" s="408"/>
      <c r="CR5" s="408"/>
      <c r="CS5" s="408"/>
      <c r="CT5" s="408"/>
      <c r="CU5" s="408"/>
      <c r="CV5" s="408"/>
      <c r="CW5" s="408"/>
      <c r="CX5" s="408"/>
      <c r="CY5" s="408"/>
      <c r="CZ5" s="408"/>
      <c r="DA5" s="408"/>
      <c r="DB5" s="408"/>
      <c r="DC5" s="408"/>
      <c r="DD5" s="408"/>
      <c r="DE5" s="408"/>
      <c r="DF5" s="408"/>
      <c r="DG5" s="408"/>
      <c r="DH5" s="408"/>
      <c r="DI5" s="408"/>
      <c r="DJ5" s="408"/>
      <c r="DK5" s="408"/>
      <c r="DL5" s="408"/>
      <c r="DM5" s="408"/>
      <c r="DN5" s="408"/>
      <c r="DO5" s="408"/>
      <c r="DP5" s="408"/>
      <c r="DQ5" s="408"/>
      <c r="DR5" s="408"/>
      <c r="DS5" s="408"/>
      <c r="DT5" s="408"/>
      <c r="DU5" s="408"/>
      <c r="DV5" s="408"/>
      <c r="DW5" s="408"/>
      <c r="DX5" s="408"/>
      <c r="DY5" s="408"/>
      <c r="DZ5" s="408"/>
      <c r="EA5" s="408"/>
      <c r="EB5" s="408"/>
      <c r="EC5" s="408"/>
      <c r="ED5" s="408"/>
      <c r="EE5" s="408"/>
      <c r="EF5" s="408"/>
      <c r="EG5" s="408"/>
      <c r="EH5" s="408"/>
    </row>
    <row r="6" customFormat="false" ht="12" hidden="false" customHeight="true" outlineLevel="0" collapsed="false">
      <c r="A6" s="75" t="s">
        <v>398</v>
      </c>
      <c r="B6" s="415" t="n">
        <f aca="false">B3</f>
        <v>2005</v>
      </c>
      <c r="C6" s="415" t="n">
        <f aca="false">C3</f>
        <v>2006</v>
      </c>
      <c r="D6" s="415" t="n">
        <f aca="false">D3</f>
        <v>2007</v>
      </c>
      <c r="E6" s="415" t="n">
        <f aca="false">E3</f>
        <v>2008</v>
      </c>
      <c r="F6" s="415" t="n">
        <f aca="false">F3</f>
        <v>2009</v>
      </c>
      <c r="G6" s="415" t="n">
        <f aca="false">G3</f>
        <v>2010</v>
      </c>
      <c r="H6" s="413"/>
      <c r="I6" s="414"/>
      <c r="J6" s="414"/>
      <c r="AG6" s="408"/>
      <c r="AH6" s="408"/>
      <c r="AI6" s="408"/>
      <c r="AJ6" s="408"/>
      <c r="AK6" s="408"/>
      <c r="AL6" s="408"/>
      <c r="AM6" s="408"/>
      <c r="AN6" s="408"/>
      <c r="AO6" s="408"/>
      <c r="AP6" s="408"/>
      <c r="AQ6" s="408"/>
      <c r="AR6" s="408"/>
      <c r="AS6" s="408"/>
      <c r="AT6" s="408"/>
      <c r="AU6" s="408"/>
      <c r="AV6" s="408"/>
      <c r="AW6" s="408"/>
      <c r="AX6" s="408"/>
      <c r="AY6" s="408"/>
      <c r="AZ6" s="408"/>
      <c r="BA6" s="408"/>
      <c r="BB6" s="408"/>
      <c r="BC6" s="408"/>
      <c r="BD6" s="408"/>
      <c r="BE6" s="408"/>
      <c r="BF6" s="408"/>
      <c r="BG6" s="408"/>
      <c r="BH6" s="408"/>
      <c r="BI6" s="408"/>
      <c r="BJ6" s="408"/>
      <c r="BK6" s="408"/>
      <c r="BL6" s="408"/>
      <c r="BM6" s="408"/>
      <c r="BN6" s="408"/>
      <c r="BO6" s="408"/>
      <c r="BP6" s="408"/>
      <c r="BQ6" s="408"/>
      <c r="BR6" s="408"/>
      <c r="BS6" s="408"/>
      <c r="BT6" s="408"/>
      <c r="BU6" s="408"/>
      <c r="BV6" s="408"/>
      <c r="BW6" s="408"/>
      <c r="BX6" s="408"/>
      <c r="BY6" s="408"/>
      <c r="BZ6" s="408"/>
      <c r="CA6" s="408"/>
      <c r="CB6" s="408"/>
      <c r="CC6" s="408"/>
      <c r="CD6" s="408"/>
      <c r="CE6" s="408"/>
      <c r="CF6" s="408"/>
      <c r="CG6" s="408"/>
      <c r="CH6" s="408"/>
      <c r="CI6" s="408"/>
      <c r="CJ6" s="408"/>
      <c r="CK6" s="408"/>
      <c r="CL6" s="408"/>
      <c r="CM6" s="408"/>
      <c r="CN6" s="408"/>
      <c r="CO6" s="408"/>
      <c r="CP6" s="408"/>
      <c r="CQ6" s="408"/>
      <c r="CR6" s="408"/>
      <c r="CS6" s="408"/>
      <c r="CT6" s="408"/>
      <c r="CU6" s="408"/>
      <c r="CV6" s="408"/>
      <c r="CW6" s="408"/>
      <c r="CX6" s="408"/>
      <c r="CY6" s="408"/>
      <c r="CZ6" s="408"/>
      <c r="DA6" s="408"/>
      <c r="DB6" s="408"/>
      <c r="DC6" s="408"/>
      <c r="DD6" s="408"/>
      <c r="DE6" s="408"/>
      <c r="DF6" s="408"/>
      <c r="DG6" s="408"/>
      <c r="DH6" s="408"/>
      <c r="DI6" s="408"/>
      <c r="DJ6" s="408"/>
      <c r="DK6" s="408"/>
      <c r="DL6" s="408"/>
      <c r="DM6" s="408"/>
      <c r="DN6" s="408"/>
      <c r="DO6" s="408"/>
      <c r="DP6" s="408"/>
      <c r="DQ6" s="408"/>
      <c r="DR6" s="408"/>
      <c r="DS6" s="408"/>
      <c r="DT6" s="408"/>
      <c r="DU6" s="408"/>
      <c r="DV6" s="408"/>
      <c r="DW6" s="408"/>
      <c r="DX6" s="408"/>
      <c r="DY6" s="408"/>
      <c r="DZ6" s="408"/>
      <c r="EA6" s="408"/>
      <c r="EB6" s="408"/>
      <c r="EC6" s="408"/>
      <c r="ED6" s="408"/>
      <c r="EE6" s="408"/>
      <c r="EF6" s="408"/>
      <c r="EG6" s="408"/>
      <c r="EH6" s="408"/>
    </row>
    <row r="7" customFormat="false" ht="12" hidden="false" customHeight="true" outlineLevel="0" collapsed="false">
      <c r="A7" s="75" t="s">
        <v>253</v>
      </c>
      <c r="B7" s="416" t="n">
        <f aca="false">'0.DADES'!D39</f>
        <v>0.8438</v>
      </c>
      <c r="C7" s="416" t="n">
        <f aca="false">'0.DADES'!E39</f>
        <v>0.9084</v>
      </c>
      <c r="D7" s="416" t="n">
        <f aca="false">'0.DADES'!F39</f>
        <v>0.8211</v>
      </c>
      <c r="E7" s="416" t="n">
        <f aca="false">'0.DADES'!G39</f>
        <v>0.8272</v>
      </c>
      <c r="F7" s="416" t="n">
        <f aca="false">'0.DADES'!H39</f>
        <v>0.8481</v>
      </c>
      <c r="G7" s="416" t="n">
        <f aca="false">'0.DADES'!I39</f>
        <v>0.8481</v>
      </c>
      <c r="H7" s="413"/>
      <c r="I7" s="414"/>
      <c r="J7" s="414"/>
      <c r="AG7" s="408"/>
      <c r="AH7" s="408"/>
      <c r="AI7" s="408"/>
      <c r="AJ7" s="408"/>
      <c r="AK7" s="408"/>
      <c r="AL7" s="408"/>
      <c r="AM7" s="408"/>
      <c r="AN7" s="408"/>
      <c r="AO7" s="408"/>
      <c r="AP7" s="408"/>
      <c r="AQ7" s="408"/>
      <c r="AR7" s="408"/>
      <c r="AS7" s="408"/>
      <c r="AT7" s="408"/>
      <c r="AU7" s="408"/>
      <c r="AV7" s="408"/>
      <c r="AW7" s="408"/>
      <c r="AX7" s="408"/>
      <c r="AY7" s="408"/>
      <c r="AZ7" s="408"/>
      <c r="BA7" s="408"/>
      <c r="BB7" s="408"/>
      <c r="BC7" s="408"/>
      <c r="BD7" s="408"/>
      <c r="BE7" s="408"/>
      <c r="BF7" s="408"/>
      <c r="BG7" s="408"/>
      <c r="BH7" s="408"/>
      <c r="BI7" s="408"/>
      <c r="BJ7" s="408"/>
      <c r="BK7" s="408"/>
      <c r="BL7" s="408"/>
      <c r="BM7" s="408"/>
      <c r="BN7" s="408"/>
      <c r="BO7" s="408"/>
      <c r="BP7" s="408"/>
      <c r="BQ7" s="408"/>
      <c r="BR7" s="408"/>
      <c r="BS7" s="408"/>
      <c r="BT7" s="408"/>
      <c r="BU7" s="408"/>
      <c r="BV7" s="408"/>
      <c r="BW7" s="408"/>
      <c r="BX7" s="408"/>
      <c r="BY7" s="408"/>
      <c r="BZ7" s="408"/>
      <c r="CA7" s="408"/>
      <c r="CB7" s="408"/>
      <c r="CC7" s="408"/>
      <c r="CD7" s="408"/>
      <c r="CE7" s="408"/>
      <c r="CF7" s="408"/>
      <c r="CG7" s="408"/>
      <c r="CH7" s="408"/>
      <c r="CI7" s="408"/>
      <c r="CJ7" s="408"/>
      <c r="CK7" s="408"/>
      <c r="CL7" s="408"/>
      <c r="CM7" s="408"/>
      <c r="CN7" s="408"/>
      <c r="CO7" s="408"/>
      <c r="CP7" s="408"/>
      <c r="CQ7" s="408"/>
      <c r="CR7" s="408"/>
      <c r="CS7" s="408"/>
      <c r="CT7" s="408"/>
      <c r="CU7" s="408"/>
      <c r="CV7" s="408"/>
      <c r="CW7" s="408"/>
      <c r="CX7" s="408"/>
      <c r="CY7" s="408"/>
      <c r="CZ7" s="408"/>
      <c r="DA7" s="408"/>
      <c r="DB7" s="408"/>
      <c r="DC7" s="408"/>
      <c r="DD7" s="408"/>
      <c r="DE7" s="408"/>
      <c r="DF7" s="408"/>
      <c r="DG7" s="408"/>
      <c r="DH7" s="408"/>
      <c r="DI7" s="408"/>
      <c r="DJ7" s="408"/>
      <c r="DK7" s="408"/>
      <c r="DL7" s="408"/>
      <c r="DM7" s="408"/>
      <c r="DN7" s="408"/>
      <c r="DO7" s="408"/>
      <c r="DP7" s="408"/>
      <c r="DQ7" s="408"/>
      <c r="DR7" s="408"/>
      <c r="DS7" s="408"/>
      <c r="DT7" s="408"/>
      <c r="DU7" s="408"/>
      <c r="DV7" s="408"/>
      <c r="DW7" s="408"/>
      <c r="DX7" s="408"/>
      <c r="DY7" s="408"/>
      <c r="DZ7" s="408"/>
      <c r="EA7" s="408"/>
      <c r="EB7" s="408"/>
      <c r="EC7" s="408"/>
      <c r="ED7" s="408"/>
      <c r="EE7" s="408"/>
      <c r="EF7" s="408"/>
      <c r="EG7" s="408"/>
      <c r="EH7" s="408"/>
    </row>
    <row r="8" customFormat="false" ht="12" hidden="false" customHeight="true" outlineLevel="0" collapsed="false">
      <c r="A8" s="75" t="s">
        <v>51</v>
      </c>
      <c r="B8" s="416" t="n">
        <f aca="false">'0.DADES'!D40</f>
        <v>0.202</v>
      </c>
      <c r="C8" s="416" t="n">
        <f aca="false">'0.DADES'!E40</f>
        <v>0.202</v>
      </c>
      <c r="D8" s="416" t="n">
        <f aca="false">'0.DADES'!F40</f>
        <v>0.202</v>
      </c>
      <c r="E8" s="416" t="n">
        <f aca="false">'0.DADES'!G40</f>
        <v>0.202</v>
      </c>
      <c r="F8" s="416" t="n">
        <f aca="false">'0.DADES'!H40</f>
        <v>0.202</v>
      </c>
      <c r="G8" s="416" t="n">
        <f aca="false">'0.DADES'!I40</f>
        <v>0.202</v>
      </c>
      <c r="H8" s="413"/>
      <c r="I8" s="414"/>
      <c r="J8" s="414"/>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c r="BK8" s="408"/>
      <c r="BL8" s="408"/>
      <c r="BM8" s="408"/>
      <c r="BN8" s="408"/>
      <c r="BO8" s="408"/>
      <c r="BP8" s="408"/>
      <c r="BQ8" s="408"/>
      <c r="BR8" s="408"/>
      <c r="BS8" s="408"/>
      <c r="BT8" s="408"/>
      <c r="BU8" s="408"/>
      <c r="BV8" s="408"/>
      <c r="BW8" s="408"/>
      <c r="BX8" s="408"/>
      <c r="BY8" s="408"/>
      <c r="BZ8" s="408"/>
      <c r="CA8" s="408"/>
      <c r="CB8" s="408"/>
      <c r="CC8" s="408"/>
      <c r="CD8" s="408"/>
      <c r="CE8" s="408"/>
      <c r="CF8" s="408"/>
      <c r="CG8" s="408"/>
      <c r="CH8" s="408"/>
      <c r="CI8" s="408"/>
      <c r="CJ8" s="408"/>
      <c r="CK8" s="408"/>
      <c r="CL8" s="408"/>
      <c r="CM8" s="408"/>
      <c r="CN8" s="408"/>
      <c r="CO8" s="408"/>
      <c r="CP8" s="408"/>
      <c r="CQ8" s="408"/>
      <c r="CR8" s="408"/>
      <c r="CS8" s="408"/>
      <c r="CT8" s="408"/>
      <c r="CU8" s="408"/>
      <c r="CV8" s="408"/>
      <c r="CW8" s="408"/>
      <c r="CX8" s="408"/>
      <c r="CY8" s="408"/>
      <c r="CZ8" s="408"/>
      <c r="DA8" s="408"/>
      <c r="DB8" s="408"/>
      <c r="DC8" s="408"/>
      <c r="DD8" s="408"/>
      <c r="DE8" s="408"/>
      <c r="DF8" s="408"/>
      <c r="DG8" s="408"/>
      <c r="DH8" s="408"/>
      <c r="DI8" s="408"/>
      <c r="DJ8" s="408"/>
      <c r="DK8" s="408"/>
      <c r="DL8" s="408"/>
      <c r="DM8" s="408"/>
      <c r="DN8" s="408"/>
      <c r="DO8" s="408"/>
      <c r="DP8" s="408"/>
      <c r="DQ8" s="408"/>
      <c r="DR8" s="408"/>
      <c r="DS8" s="408"/>
      <c r="DT8" s="408"/>
      <c r="DU8" s="408"/>
      <c r="DV8" s="408"/>
      <c r="DW8" s="408"/>
      <c r="DX8" s="408"/>
      <c r="DY8" s="408"/>
      <c r="DZ8" s="408"/>
      <c r="EA8" s="408"/>
      <c r="EB8" s="408"/>
      <c r="EC8" s="408"/>
      <c r="ED8" s="408"/>
      <c r="EE8" s="408"/>
      <c r="EF8" s="408"/>
      <c r="EG8" s="408"/>
      <c r="EH8" s="408"/>
    </row>
    <row r="9" customFormat="false" ht="12" hidden="false" customHeight="true" outlineLevel="0" collapsed="false">
      <c r="A9" s="75" t="s">
        <v>53</v>
      </c>
      <c r="B9" s="416" t="n">
        <f aca="false">'0.DADES'!D41</f>
        <v>0.227</v>
      </c>
      <c r="C9" s="416" t="n">
        <f aca="false">'0.DADES'!E41</f>
        <v>0.227</v>
      </c>
      <c r="D9" s="416" t="n">
        <f aca="false">'0.DADES'!F41</f>
        <v>0.227</v>
      </c>
      <c r="E9" s="416" t="n">
        <f aca="false">'0.DADES'!G41</f>
        <v>0.227</v>
      </c>
      <c r="F9" s="416" t="n">
        <f aca="false">'0.DADES'!H41</f>
        <v>0.227</v>
      </c>
      <c r="G9" s="416" t="n">
        <f aca="false">'0.DADES'!I41</f>
        <v>0.227</v>
      </c>
      <c r="H9" s="155"/>
      <c r="J9" s="417" t="s">
        <v>721</v>
      </c>
      <c r="P9" s="417" t="s">
        <v>722</v>
      </c>
      <c r="W9" s="417" t="s">
        <v>723</v>
      </c>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8"/>
      <c r="BN9" s="408"/>
      <c r="BO9" s="408"/>
      <c r="BP9" s="408"/>
      <c r="BQ9" s="408"/>
      <c r="BR9" s="408"/>
      <c r="BS9" s="408"/>
      <c r="BT9" s="408"/>
      <c r="BU9" s="408"/>
      <c r="BV9" s="408"/>
      <c r="BW9" s="408"/>
      <c r="BX9" s="408"/>
      <c r="BY9" s="408"/>
      <c r="BZ9" s="408"/>
      <c r="CA9" s="408"/>
      <c r="CB9" s="408"/>
      <c r="CC9" s="408"/>
      <c r="CD9" s="408"/>
      <c r="CE9" s="408"/>
      <c r="CF9" s="408"/>
      <c r="CG9" s="408"/>
      <c r="CH9" s="408"/>
      <c r="CI9" s="408"/>
      <c r="CJ9" s="408"/>
      <c r="CK9" s="408"/>
      <c r="CL9" s="408"/>
      <c r="CM9" s="408"/>
      <c r="CN9" s="408"/>
      <c r="CO9" s="408"/>
      <c r="CP9" s="408"/>
      <c r="CQ9" s="408"/>
      <c r="CR9" s="408"/>
      <c r="CS9" s="408"/>
      <c r="CT9" s="408"/>
      <c r="CU9" s="408"/>
      <c r="CV9" s="408"/>
      <c r="CW9" s="408"/>
      <c r="CX9" s="408"/>
      <c r="CY9" s="408"/>
      <c r="CZ9" s="408"/>
      <c r="DA9" s="408"/>
      <c r="DB9" s="408"/>
      <c r="DC9" s="408"/>
      <c r="DD9" s="408"/>
      <c r="DE9" s="408"/>
      <c r="DF9" s="408"/>
      <c r="DG9" s="408"/>
      <c r="DH9" s="408"/>
      <c r="DI9" s="408"/>
      <c r="DJ9" s="408"/>
      <c r="DK9" s="408"/>
      <c r="DL9" s="408"/>
      <c r="DM9" s="408"/>
      <c r="DN9" s="408"/>
      <c r="DO9" s="408"/>
      <c r="DP9" s="408"/>
      <c r="DQ9" s="408"/>
      <c r="DR9" s="408"/>
      <c r="DS9" s="408"/>
      <c r="DT9" s="408"/>
      <c r="DU9" s="408"/>
      <c r="DV9" s="408"/>
      <c r="DW9" s="408"/>
      <c r="DX9" s="408"/>
      <c r="DY9" s="408"/>
      <c r="DZ9" s="408"/>
      <c r="EA9" s="408"/>
      <c r="EB9" s="408"/>
      <c r="EC9" s="408"/>
      <c r="ED9" s="408"/>
      <c r="EE9" s="408"/>
      <c r="EF9" s="408"/>
      <c r="EG9" s="408"/>
      <c r="EH9" s="408"/>
    </row>
    <row r="10" s="408" customFormat="true" ht="12" hidden="false" customHeight="true" outlineLevel="0" collapsed="false">
      <c r="A10" s="75" t="s">
        <v>117</v>
      </c>
      <c r="B10" s="416" t="n">
        <f aca="false">'0.DADES'!D42</f>
        <v>0.267</v>
      </c>
      <c r="C10" s="416" t="n">
        <f aca="false">'0.DADES'!E42</f>
        <v>0.267</v>
      </c>
      <c r="D10" s="416" t="n">
        <f aca="false">'0.DADES'!F42</f>
        <v>0.267</v>
      </c>
      <c r="E10" s="416" t="n">
        <f aca="false">'0.DADES'!G42</f>
        <v>0.267</v>
      </c>
      <c r="F10" s="416" t="n">
        <f aca="false">'0.DADES'!H42</f>
        <v>0.267</v>
      </c>
      <c r="G10" s="416" t="n">
        <f aca="false">'0.DADES'!I42</f>
        <v>0.267</v>
      </c>
      <c r="H10" s="418"/>
      <c r="I10" s="419"/>
      <c r="J10" s="407"/>
      <c r="K10" s="407"/>
    </row>
    <row r="11" s="408" customFormat="true" ht="12" hidden="false" customHeight="true" outlineLevel="0" collapsed="false">
      <c r="A11" s="75" t="s">
        <v>118</v>
      </c>
      <c r="B11" s="416" t="n">
        <f aca="false">'0.DADES'!D43</f>
        <v>0.249</v>
      </c>
      <c r="C11" s="416" t="n">
        <f aca="false">'0.DADES'!E43</f>
        <v>0.249</v>
      </c>
      <c r="D11" s="416" t="n">
        <f aca="false">'0.DADES'!F43</f>
        <v>0.249</v>
      </c>
      <c r="E11" s="416" t="n">
        <f aca="false">'0.DADES'!G43</f>
        <v>0.249</v>
      </c>
      <c r="F11" s="416" t="n">
        <f aca="false">'0.DADES'!H43</f>
        <v>0.249</v>
      </c>
      <c r="G11" s="416" t="n">
        <f aca="false">'0.DADES'!I43</f>
        <v>0.249</v>
      </c>
      <c r="H11" s="418"/>
      <c r="I11" s="419"/>
      <c r="J11" s="407"/>
      <c r="K11" s="407"/>
    </row>
    <row r="12" s="408" customFormat="true" ht="12" hidden="false" customHeight="true" outlineLevel="0" collapsed="false">
      <c r="A12" s="75" t="s">
        <v>119</v>
      </c>
      <c r="B12" s="416" t="n">
        <f aca="false">'0.DADES'!D44</f>
        <v>0.279</v>
      </c>
      <c r="C12" s="416" t="n">
        <f aca="false">'0.DADES'!E44</f>
        <v>0.279</v>
      </c>
      <c r="D12" s="416" t="n">
        <f aca="false">'0.DADES'!F44</f>
        <v>0.279</v>
      </c>
      <c r="E12" s="416" t="n">
        <f aca="false">'0.DADES'!G44</f>
        <v>0.279</v>
      </c>
      <c r="F12" s="416" t="n">
        <f aca="false">'0.DADES'!H44</f>
        <v>0.279</v>
      </c>
      <c r="G12" s="416" t="n">
        <f aca="false">'0.DADES'!I44</f>
        <v>0.279</v>
      </c>
      <c r="H12" s="418"/>
      <c r="I12" s="419"/>
      <c r="J12" s="407"/>
      <c r="K12" s="407"/>
    </row>
    <row r="13" s="408" customFormat="true" ht="12" hidden="false" customHeight="true" outlineLevel="0" collapsed="false">
      <c r="A13" s="420"/>
      <c r="B13" s="418"/>
      <c r="C13" s="418"/>
      <c r="D13" s="418"/>
      <c r="E13" s="418"/>
      <c r="F13" s="418"/>
      <c r="G13" s="418"/>
      <c r="H13" s="418"/>
      <c r="I13" s="419"/>
      <c r="J13" s="407"/>
      <c r="K13" s="407"/>
    </row>
    <row r="14" s="408" customFormat="true" ht="12" hidden="false" customHeight="true" outlineLevel="0" collapsed="false">
      <c r="A14" s="421" t="s">
        <v>724</v>
      </c>
      <c r="B14" s="418"/>
      <c r="C14" s="418"/>
      <c r="D14" s="418"/>
      <c r="E14" s="418"/>
      <c r="F14" s="418"/>
      <c r="G14" s="418"/>
      <c r="H14" s="418"/>
      <c r="I14" s="419"/>
      <c r="J14" s="407"/>
      <c r="K14" s="407"/>
    </row>
    <row r="15" s="408" customFormat="true" ht="12" hidden="false" customHeight="true" outlineLevel="0" collapsed="false">
      <c r="A15" s="420"/>
      <c r="B15" s="418"/>
      <c r="C15" s="418"/>
      <c r="D15" s="418"/>
      <c r="E15" s="418"/>
      <c r="F15" s="418"/>
      <c r="G15" s="418"/>
      <c r="H15" s="418"/>
      <c r="I15" s="419"/>
      <c r="J15" s="407"/>
      <c r="K15" s="407"/>
    </row>
    <row r="16" s="408" customFormat="true" ht="12" hidden="false" customHeight="true" outlineLevel="0" collapsed="false">
      <c r="A16" s="422" t="s">
        <v>587</v>
      </c>
      <c r="B16" s="422" t="n">
        <v>2005</v>
      </c>
      <c r="C16" s="422" t="n">
        <v>2006</v>
      </c>
      <c r="D16" s="422" t="n">
        <v>2007</v>
      </c>
      <c r="E16" s="422" t="n">
        <v>2008</v>
      </c>
      <c r="F16" s="422" t="n">
        <v>2009</v>
      </c>
      <c r="G16" s="422" t="n">
        <v>2010</v>
      </c>
      <c r="H16" s="422" t="s">
        <v>582</v>
      </c>
      <c r="I16" s="419"/>
      <c r="J16" s="407"/>
      <c r="K16" s="407"/>
    </row>
    <row r="17" s="408" customFormat="true" ht="12" hidden="false" customHeight="true" outlineLevel="0" collapsed="false">
      <c r="A17" s="423" t="s">
        <v>588</v>
      </c>
      <c r="B17" s="424" t="n">
        <f aca="false">('8.EQUIPAM'!H85+'9.ENLLUME i SEMÀFORS'!B9)/1000+'7.AIGUA'!B43</f>
        <v>8021.30115</v>
      </c>
      <c r="C17" s="424" t="n">
        <f aca="false">('8.EQUIPAM'!I85+'9.ENLLUME i SEMÀFORS'!C9)/1000+'7.AIGUA'!C43</f>
        <v>8767.06912</v>
      </c>
      <c r="D17" s="424" t="n">
        <f aca="false">('8.EQUIPAM'!J85+'9.ENLLUME i SEMÀFORS'!D9)/1000+'7.AIGUA'!D43</f>
        <v>8722.94726</v>
      </c>
      <c r="E17" s="424" t="n">
        <f aca="false">('8.EQUIPAM'!K85+'9.ENLLUME i SEMÀFORS'!E9)/1000+'7.AIGUA'!E43</f>
        <v>9212.4988</v>
      </c>
      <c r="F17" s="424" t="n">
        <f aca="false">('8.EQUIPAM'!L85+'9.ENLLUME i SEMÀFORS'!F9)/1000+'7.AIGUA'!F43</f>
        <v>9281.7222</v>
      </c>
      <c r="G17" s="424" t="n">
        <f aca="false">('8.EQUIPAM'!M85+'9.ENLLUME i SEMÀFORS'!G9)/1000+'7.AIGUA'!G43</f>
        <v>6187.73913</v>
      </c>
      <c r="H17" s="425" t="n">
        <f aca="false">(F17-B17)/B17</f>
        <v>0.157134238751278</v>
      </c>
      <c r="I17" s="419"/>
      <c r="J17" s="407"/>
      <c r="K17" s="407"/>
    </row>
    <row r="18" s="408" customFormat="true" ht="12" hidden="false" customHeight="true" outlineLevel="0" collapsed="false">
      <c r="A18" s="423" t="s">
        <v>51</v>
      </c>
      <c r="B18" s="424" t="n">
        <f aca="false">'8.EQUIPAM'!H115/1000</f>
        <v>0</v>
      </c>
      <c r="C18" s="424" t="n">
        <f aca="false">'8.EQUIPAM'!I115/1000</f>
        <v>0</v>
      </c>
      <c r="D18" s="424" t="n">
        <f aca="false">'8.EQUIPAM'!J115/1000</f>
        <v>0</v>
      </c>
      <c r="E18" s="424" t="n">
        <f aca="false">'8.EQUIPAM'!K115/1000</f>
        <v>0</v>
      </c>
      <c r="F18" s="424" t="n">
        <f aca="false">'8.EQUIPAM'!L115/1000</f>
        <v>0</v>
      </c>
      <c r="G18" s="424" t="n">
        <f aca="false">'8.EQUIPAM'!M115/1000</f>
        <v>0</v>
      </c>
      <c r="H18" s="425" t="n">
        <v>0</v>
      </c>
      <c r="I18" s="419"/>
      <c r="J18" s="407"/>
      <c r="K18" s="407"/>
    </row>
    <row r="19" s="408" customFormat="true" ht="12" hidden="false" customHeight="true" outlineLevel="0" collapsed="false">
      <c r="A19" s="423" t="s">
        <v>53</v>
      </c>
      <c r="B19" s="424" t="n">
        <f aca="false">'8.EQUIPAM'!H237/1000</f>
        <v>172.469534883721</v>
      </c>
      <c r="C19" s="424" t="n">
        <f aca="false">'8.EQUIPAM'!I237/1000</f>
        <v>172.469534883721</v>
      </c>
      <c r="D19" s="424" t="n">
        <f aca="false">'8.EQUIPAM'!J237/1000</f>
        <v>172.469534883721</v>
      </c>
      <c r="E19" s="424" t="n">
        <f aca="false">'8.EQUIPAM'!K237/1000</f>
        <v>172.469534883721</v>
      </c>
      <c r="F19" s="424" t="n">
        <f aca="false">'8.EQUIPAM'!L237/1000</f>
        <v>172.469534883721</v>
      </c>
      <c r="G19" s="424" t="n">
        <f aca="false">'8.EQUIPAM'!M237/1000</f>
        <v>172.469534883721</v>
      </c>
      <c r="H19" s="425" t="n">
        <f aca="false">(F19-B19)/B19</f>
        <v>0</v>
      </c>
      <c r="I19" s="419"/>
      <c r="J19" s="407"/>
      <c r="K19" s="407"/>
    </row>
    <row r="20" s="408" customFormat="true" ht="12" hidden="false" customHeight="true" outlineLevel="0" collapsed="false">
      <c r="A20" s="423" t="s">
        <v>117</v>
      </c>
      <c r="B20" s="424" t="n">
        <f aca="false">('8.EQUIPAM'!H176+'10. VEHICLES PROPIS'!D73+'11. VEHICLES EXT.'!D72)/1000</f>
        <v>1849.50110385</v>
      </c>
      <c r="C20" s="424" t="n">
        <f aca="false">('8.EQUIPAM'!I176+'10. VEHICLES PROPIS'!E73+'11. VEHICLES EXT.'!E72)/1000</f>
        <v>2023.16116885</v>
      </c>
      <c r="D20" s="424" t="n">
        <f aca="false">('8.EQUIPAM'!J176+'10. VEHICLES PROPIS'!F73+'11. VEHICLES EXT.'!F72)/1000</f>
        <v>2023.16116885</v>
      </c>
      <c r="E20" s="424" t="n">
        <f aca="false">('8.EQUIPAM'!K176+'10. VEHICLES PROPIS'!G73+'11. VEHICLES EXT.'!G72)/1000</f>
        <v>2023.16116885</v>
      </c>
      <c r="F20" s="424" t="n">
        <f aca="false">('8.EQUIPAM'!L176+'10. VEHICLES PROPIS'!H73+'11. VEHICLES EXT.'!H72)/1000</f>
        <v>2023.16116885</v>
      </c>
      <c r="G20" s="424" t="n">
        <f aca="false">('8.EQUIPAM'!M176+'10. VEHICLES PROPIS'!I73+'11. VEHICLES EXT.'!I72)/1000</f>
        <v>2060.11011885</v>
      </c>
      <c r="H20" s="425" t="n">
        <f aca="false">(F20-B20)/B20</f>
        <v>0.093895626576541</v>
      </c>
      <c r="I20" s="419"/>
      <c r="J20" s="407"/>
      <c r="K20" s="407"/>
    </row>
    <row r="21" s="408" customFormat="true" ht="12" hidden="false" customHeight="true" outlineLevel="0" collapsed="false">
      <c r="A21" s="423" t="s">
        <v>118</v>
      </c>
      <c r="B21" s="424" t="n">
        <f aca="false">('10. VEHICLES PROPIS'!D109+'11. VEHICLES EXT.'!D110)/1000</f>
        <v>214.336395</v>
      </c>
      <c r="C21" s="424" t="n">
        <f aca="false">('10. VEHICLES PROPIS'!E109+'11. VEHICLES EXT.'!E110)/1000</f>
        <v>347.02083</v>
      </c>
      <c r="D21" s="424" t="n">
        <f aca="false">('10. VEHICLES PROPIS'!F109+'11. VEHICLES EXT.'!F110)/1000</f>
        <v>347.02083</v>
      </c>
      <c r="E21" s="424" t="n">
        <f aca="false">('10. VEHICLES PROPIS'!G109+'11. VEHICLES EXT.'!G110)/1000</f>
        <v>347.02083</v>
      </c>
      <c r="F21" s="424" t="n">
        <f aca="false">('10. VEHICLES PROPIS'!H109+'11. VEHICLES EXT.'!H110)/1000</f>
        <v>347.02083</v>
      </c>
      <c r="G21" s="424" t="n">
        <f aca="false">('10. VEHICLES PROPIS'!I109+'11. VEHICLES EXT.'!I110)/1000</f>
        <v>347.02083</v>
      </c>
      <c r="H21" s="425" t="n">
        <f aca="false">(F21-B21)/B21</f>
        <v>0.619047619047619</v>
      </c>
      <c r="I21" s="419"/>
      <c r="J21" s="407"/>
      <c r="K21" s="407"/>
    </row>
    <row r="22" s="408" customFormat="true" ht="12" hidden="false" customHeight="true" outlineLevel="0" collapsed="false">
      <c r="A22" s="426" t="s">
        <v>119</v>
      </c>
      <c r="B22" s="427" t="n">
        <v>0</v>
      </c>
      <c r="C22" s="427" t="n">
        <v>0</v>
      </c>
      <c r="D22" s="427" t="n">
        <v>0</v>
      </c>
      <c r="E22" s="427" t="n">
        <v>0</v>
      </c>
      <c r="F22" s="427" t="n">
        <v>0</v>
      </c>
      <c r="G22" s="427" t="n">
        <v>0</v>
      </c>
      <c r="H22" s="425" t="n">
        <v>0</v>
      </c>
      <c r="I22" s="419"/>
      <c r="J22" s="407"/>
      <c r="K22" s="407"/>
    </row>
    <row r="23" s="408" customFormat="true" ht="13.5" hidden="false" customHeight="false" outlineLevel="0" collapsed="false">
      <c r="A23" s="423" t="s">
        <v>596</v>
      </c>
      <c r="B23" s="424" t="n">
        <v>0</v>
      </c>
      <c r="C23" s="424" t="n">
        <v>0</v>
      </c>
      <c r="D23" s="424" t="n">
        <v>0</v>
      </c>
      <c r="E23" s="424" t="n">
        <v>0</v>
      </c>
      <c r="F23" s="424" t="n">
        <v>0</v>
      </c>
      <c r="G23" s="424" t="n">
        <v>0</v>
      </c>
      <c r="H23" s="425" t="n">
        <v>0</v>
      </c>
      <c r="I23" s="419"/>
      <c r="J23" s="407"/>
      <c r="K23" s="407"/>
    </row>
    <row r="24" s="408" customFormat="true" ht="12" hidden="false" customHeight="true" outlineLevel="0" collapsed="false">
      <c r="A24" s="428" t="s">
        <v>590</v>
      </c>
      <c r="B24" s="429" t="n">
        <f aca="false">(B17+B18+B19+B20+B21+B22)-B23</f>
        <v>10257.6081837337</v>
      </c>
      <c r="C24" s="429" t="n">
        <f aca="false">(C17+C18+C19+C20+C21+C22)-C23</f>
        <v>11309.7206537337</v>
      </c>
      <c r="D24" s="429" t="n">
        <f aca="false">(D17+D18+D19+D20+D21+D22)-D23</f>
        <v>11265.5987937337</v>
      </c>
      <c r="E24" s="429" t="n">
        <f aca="false">(E17+E18+E19+E20+E21+E22)-E23</f>
        <v>11755.1503337337</v>
      </c>
      <c r="F24" s="429" t="n">
        <f aca="false">(F17+F18+F19+F20+F21+F22)-F23</f>
        <v>11824.3737337337</v>
      </c>
      <c r="G24" s="429" t="n">
        <f aca="false">(G17+G18+G19+G20+G21+G22)-G23</f>
        <v>8767.33961373372</v>
      </c>
      <c r="H24" s="430" t="n">
        <f aca="false">(F24-B24)/B24</f>
        <v>0.152741801201233</v>
      </c>
      <c r="I24" s="419"/>
      <c r="J24" s="407"/>
      <c r="K24" s="407"/>
    </row>
    <row r="25" s="408" customFormat="true" ht="12" hidden="false" customHeight="true" outlineLevel="0" collapsed="false">
      <c r="A25" s="428" t="s">
        <v>272</v>
      </c>
      <c r="B25" s="429" t="n">
        <f aca="false">B17+B18+B19+B20+B21+B22</f>
        <v>10257.6081837337</v>
      </c>
      <c r="C25" s="429" t="n">
        <f aca="false">C17+C18+C19+C20+C21+C22</f>
        <v>11309.7206537337</v>
      </c>
      <c r="D25" s="429" t="n">
        <f aca="false">D17+D18+D19+D20+D21+D22</f>
        <v>11265.5987937337</v>
      </c>
      <c r="E25" s="429" t="n">
        <f aca="false">E17+E18+E19+E20+E21+E22</f>
        <v>11755.1503337337</v>
      </c>
      <c r="F25" s="429" t="n">
        <f aca="false">F17+F18+F19+F20+F21+F22</f>
        <v>11824.3737337337</v>
      </c>
      <c r="G25" s="429" t="n">
        <f aca="false">G17+G18+G19+G20+G21+G22</f>
        <v>8767.33961373372</v>
      </c>
      <c r="H25" s="430" t="n">
        <f aca="false">(F25-B25)/B25</f>
        <v>0.152741801201233</v>
      </c>
      <c r="I25" s="419"/>
      <c r="J25" s="407"/>
      <c r="K25" s="407"/>
    </row>
    <row r="26" s="408" customFormat="true" ht="12" hidden="false" customHeight="true" outlineLevel="0" collapsed="false">
      <c r="A26" s="431" t="s">
        <v>609</v>
      </c>
      <c r="B26" s="432" t="n">
        <f aca="false">+B65</f>
        <v>10257.6081837337</v>
      </c>
      <c r="C26" s="432" t="n">
        <f aca="false">+C65</f>
        <v>11309.7206537337</v>
      </c>
      <c r="D26" s="432" t="n">
        <f aca="false">+D65</f>
        <v>11265.5987937337</v>
      </c>
      <c r="E26" s="432" t="n">
        <f aca="false">+E65</f>
        <v>11755.1503337337</v>
      </c>
      <c r="F26" s="432" t="n">
        <f aca="false">+F65</f>
        <v>11824.3737337337</v>
      </c>
      <c r="G26" s="432" t="n">
        <f aca="false">+G65</f>
        <v>8767.33961373372</v>
      </c>
      <c r="H26" s="418"/>
      <c r="I26" s="419"/>
      <c r="J26" s="407"/>
      <c r="K26" s="407"/>
    </row>
    <row r="27" s="408" customFormat="true" ht="12" hidden="false" customHeight="true" outlineLevel="0" collapsed="false">
      <c r="A27" s="420"/>
      <c r="B27" s="418"/>
      <c r="C27" s="418"/>
      <c r="D27" s="418"/>
      <c r="E27" s="418"/>
      <c r="F27" s="418"/>
      <c r="G27" s="418"/>
      <c r="H27" s="418"/>
      <c r="I27" s="419"/>
      <c r="J27" s="407"/>
      <c r="K27" s="407"/>
    </row>
    <row r="28" s="408" customFormat="true" ht="12" hidden="false" customHeight="true" outlineLevel="0" collapsed="false">
      <c r="A28" s="420"/>
      <c r="B28" s="418" t="n">
        <f aca="false">B26-B25</f>
        <v>0</v>
      </c>
      <c r="C28" s="418"/>
      <c r="D28" s="418"/>
      <c r="E28" s="418"/>
      <c r="F28" s="418"/>
      <c r="G28" s="418"/>
      <c r="H28" s="418"/>
      <c r="I28" s="419"/>
      <c r="J28" s="407"/>
      <c r="K28" s="407"/>
    </row>
    <row r="29" s="408" customFormat="true" ht="12" hidden="false" customHeight="true" outlineLevel="0" collapsed="false">
      <c r="A29" s="420"/>
      <c r="B29" s="418"/>
      <c r="C29" s="418"/>
      <c r="D29" s="418"/>
      <c r="E29" s="418"/>
      <c r="F29" s="418"/>
      <c r="G29" s="418"/>
      <c r="H29" s="418"/>
      <c r="I29" s="419"/>
      <c r="J29" s="407"/>
      <c r="K29" s="407"/>
    </row>
    <row r="30" s="408" customFormat="true" ht="12" hidden="false" customHeight="true" outlineLevel="0" collapsed="false">
      <c r="A30" s="420"/>
      <c r="B30" s="418"/>
      <c r="C30" s="418"/>
      <c r="D30" s="418"/>
      <c r="E30" s="418"/>
      <c r="F30" s="418"/>
      <c r="G30" s="418"/>
      <c r="H30" s="418"/>
      <c r="I30" s="419"/>
      <c r="J30" s="407"/>
      <c r="K30" s="407"/>
    </row>
    <row r="31" customFormat="false" ht="12" hidden="false" customHeight="true" outlineLevel="0" collapsed="false">
      <c r="A31" s="420"/>
      <c r="B31" s="418"/>
      <c r="C31" s="418"/>
      <c r="D31" s="418"/>
      <c r="E31" s="418"/>
      <c r="F31" s="418"/>
      <c r="G31" s="418"/>
      <c r="H31" s="418"/>
      <c r="I31" s="419"/>
      <c r="J31" s="417" t="s">
        <v>725</v>
      </c>
      <c r="P31" s="417" t="s">
        <v>726</v>
      </c>
      <c r="W31" s="417" t="s">
        <v>727</v>
      </c>
    </row>
    <row r="32" customFormat="false" ht="12" hidden="false" customHeight="true" outlineLevel="0" collapsed="false">
      <c r="A32" s="420"/>
      <c r="B32" s="418"/>
      <c r="C32" s="418"/>
      <c r="D32" s="418"/>
      <c r="E32" s="418"/>
      <c r="F32" s="418"/>
      <c r="G32" s="418"/>
      <c r="H32" s="418"/>
      <c r="I32" s="419"/>
    </row>
    <row r="33" customFormat="false" ht="12" hidden="false" customHeight="true" outlineLevel="0" collapsed="false">
      <c r="A33" s="420"/>
      <c r="B33" s="418"/>
      <c r="C33" s="418"/>
      <c r="D33" s="418"/>
      <c r="E33" s="418"/>
      <c r="F33" s="418"/>
      <c r="G33" s="418"/>
      <c r="H33" s="418"/>
      <c r="I33" s="419"/>
    </row>
    <row r="34" customFormat="false" ht="12" hidden="false" customHeight="true" outlineLevel="0" collapsed="false">
      <c r="A34" s="433" t="s">
        <v>728</v>
      </c>
      <c r="B34" s="418"/>
      <c r="C34" s="418"/>
      <c r="D34" s="418"/>
      <c r="E34" s="418"/>
      <c r="F34" s="418"/>
      <c r="G34" s="418"/>
      <c r="H34" s="418"/>
      <c r="I34" s="419"/>
    </row>
    <row r="35" customFormat="false" ht="12" hidden="false" customHeight="true" outlineLevel="0" collapsed="false">
      <c r="A35" s="420"/>
      <c r="B35" s="418"/>
      <c r="C35" s="418"/>
      <c r="D35" s="418"/>
      <c r="E35" s="418"/>
      <c r="F35" s="418"/>
      <c r="G35" s="418"/>
      <c r="H35" s="418"/>
      <c r="I35" s="419"/>
    </row>
    <row r="36" customFormat="false" ht="12" hidden="false" customHeight="true" outlineLevel="0" collapsed="false">
      <c r="A36" s="422" t="s">
        <v>587</v>
      </c>
      <c r="B36" s="422" t="n">
        <v>2005</v>
      </c>
      <c r="C36" s="422" t="n">
        <v>2006</v>
      </c>
      <c r="D36" s="422" t="n">
        <v>2007</v>
      </c>
      <c r="E36" s="422" t="n">
        <v>2008</v>
      </c>
      <c r="F36" s="422" t="n">
        <v>2009</v>
      </c>
      <c r="G36" s="422" t="n">
        <v>2010</v>
      </c>
      <c r="H36" s="422" t="s">
        <v>582</v>
      </c>
      <c r="I36" s="419"/>
    </row>
    <row r="37" customFormat="false" ht="12" hidden="false" customHeight="true" outlineLevel="0" collapsed="false">
      <c r="A37" s="423" t="s">
        <v>588</v>
      </c>
      <c r="B37" s="424" t="n">
        <f aca="false">B17*B7</f>
        <v>6768.37391037</v>
      </c>
      <c r="C37" s="424" t="n">
        <f aca="false">C17*C7</f>
        <v>7964.005588608</v>
      </c>
      <c r="D37" s="424" t="n">
        <f aca="false">D17*D7</f>
        <v>7162.411995186</v>
      </c>
      <c r="E37" s="424" t="n">
        <f aca="false">E17*E7</f>
        <v>7620.57900736</v>
      </c>
      <c r="F37" s="424" t="n">
        <f aca="false">F17*F7</f>
        <v>7871.82859782</v>
      </c>
      <c r="G37" s="424" t="n">
        <f aca="false">G17*G7</f>
        <v>5247.821556153</v>
      </c>
      <c r="H37" s="425" t="n">
        <f aca="false">(F37-B37)/B37</f>
        <v>0.163030988249536</v>
      </c>
      <c r="I37" s="419"/>
    </row>
    <row r="38" customFormat="false" ht="12" hidden="false" customHeight="true" outlineLevel="0" collapsed="false">
      <c r="A38" s="423" t="s">
        <v>51</v>
      </c>
      <c r="B38" s="424" t="n">
        <f aca="false">B18*B8</f>
        <v>0</v>
      </c>
      <c r="C38" s="424" t="n">
        <f aca="false">C18*C8</f>
        <v>0</v>
      </c>
      <c r="D38" s="424" t="n">
        <f aca="false">D18*D8</f>
        <v>0</v>
      </c>
      <c r="E38" s="424" t="n">
        <f aca="false">E18*E8</f>
        <v>0</v>
      </c>
      <c r="F38" s="424" t="n">
        <f aca="false">F18*F8</f>
        <v>0</v>
      </c>
      <c r="G38" s="424" t="n">
        <f aca="false">G18*G8</f>
        <v>0</v>
      </c>
      <c r="H38" s="425" t="n">
        <v>0</v>
      </c>
      <c r="I38" s="419"/>
    </row>
    <row r="39" customFormat="false" ht="12" hidden="false" customHeight="true" outlineLevel="0" collapsed="false">
      <c r="A39" s="423" t="s">
        <v>53</v>
      </c>
      <c r="B39" s="424" t="n">
        <f aca="false">B19*B9</f>
        <v>39.1505844186047</v>
      </c>
      <c r="C39" s="424" t="n">
        <f aca="false">C19*C9</f>
        <v>39.1505844186047</v>
      </c>
      <c r="D39" s="424" t="n">
        <f aca="false">D19*D9</f>
        <v>39.1505844186047</v>
      </c>
      <c r="E39" s="424" t="n">
        <f aca="false">E19*E9</f>
        <v>39.1505844186047</v>
      </c>
      <c r="F39" s="424" t="n">
        <f aca="false">F19*F9</f>
        <v>39.1505844186047</v>
      </c>
      <c r="G39" s="424" t="n">
        <f aca="false">G19*G9</f>
        <v>39.1505844186047</v>
      </c>
      <c r="H39" s="425" t="n">
        <f aca="false">(F39-B39)/B39</f>
        <v>0</v>
      </c>
      <c r="I39" s="419"/>
    </row>
    <row r="40" customFormat="false" ht="12" hidden="false" customHeight="true" outlineLevel="0" collapsed="false">
      <c r="A40" s="423" t="s">
        <v>117</v>
      </c>
      <c r="B40" s="424" t="n">
        <f aca="false">B20*B10</f>
        <v>493.81679472795</v>
      </c>
      <c r="C40" s="424" t="n">
        <f aca="false">C20*C10</f>
        <v>540.18403208295</v>
      </c>
      <c r="D40" s="424" t="n">
        <f aca="false">D20*D10</f>
        <v>540.18403208295</v>
      </c>
      <c r="E40" s="424" t="n">
        <f aca="false">E20*E10</f>
        <v>540.18403208295</v>
      </c>
      <c r="F40" s="424" t="n">
        <f aca="false">F20*F10</f>
        <v>540.18403208295</v>
      </c>
      <c r="G40" s="424" t="n">
        <f aca="false">G20*G10</f>
        <v>550.04940173295</v>
      </c>
      <c r="H40" s="425" t="n">
        <f aca="false">(F40-B40)/B40</f>
        <v>0.0938956265765411</v>
      </c>
      <c r="I40" s="419"/>
    </row>
    <row r="41" customFormat="false" ht="12" hidden="false" customHeight="true" outlineLevel="0" collapsed="false">
      <c r="A41" s="423" t="s">
        <v>118</v>
      </c>
      <c r="B41" s="424" t="n">
        <f aca="false">B21*B11</f>
        <v>53.369762355</v>
      </c>
      <c r="C41" s="424" t="n">
        <f aca="false">C21*C11</f>
        <v>86.40818667</v>
      </c>
      <c r="D41" s="424" t="n">
        <f aca="false">D21*D11</f>
        <v>86.40818667</v>
      </c>
      <c r="E41" s="424" t="n">
        <f aca="false">E21*E11</f>
        <v>86.40818667</v>
      </c>
      <c r="F41" s="424" t="n">
        <f aca="false">F21*F11</f>
        <v>86.40818667</v>
      </c>
      <c r="G41" s="424" t="n">
        <f aca="false">G21*G11</f>
        <v>86.40818667</v>
      </c>
      <c r="H41" s="425" t="n">
        <f aca="false">(F41-B41)/B41</f>
        <v>0.619047619047619</v>
      </c>
      <c r="I41" s="419"/>
    </row>
    <row r="42" customFormat="false" ht="12" hidden="false" customHeight="true" outlineLevel="0" collapsed="false">
      <c r="A42" s="423" t="s">
        <v>119</v>
      </c>
      <c r="B42" s="424" t="n">
        <f aca="false">B22*B12</f>
        <v>0</v>
      </c>
      <c r="C42" s="424" t="n">
        <f aca="false">C22*C12</f>
        <v>0</v>
      </c>
      <c r="D42" s="424" t="n">
        <f aca="false">D22*D12</f>
        <v>0</v>
      </c>
      <c r="E42" s="424" t="n">
        <f aca="false">E22*E12</f>
        <v>0</v>
      </c>
      <c r="F42" s="424" t="n">
        <f aca="false">F22*F12</f>
        <v>0</v>
      </c>
      <c r="G42" s="424" t="n">
        <f aca="false">G22*G12</f>
        <v>0</v>
      </c>
      <c r="H42" s="425" t="n">
        <v>0</v>
      </c>
      <c r="I42" s="419"/>
    </row>
    <row r="43" customFormat="false" ht="13.5" hidden="false" customHeight="false" outlineLevel="0" collapsed="false">
      <c r="A43" s="423" t="s">
        <v>596</v>
      </c>
      <c r="B43" s="424" t="n">
        <v>0</v>
      </c>
      <c r="C43" s="424" t="n">
        <v>0</v>
      </c>
      <c r="D43" s="424" t="n">
        <v>0</v>
      </c>
      <c r="E43" s="424" t="n">
        <v>0</v>
      </c>
      <c r="F43" s="424" t="n">
        <v>0</v>
      </c>
      <c r="G43" s="424" t="n">
        <v>0</v>
      </c>
      <c r="H43" s="425" t="n">
        <v>0</v>
      </c>
      <c r="I43" s="419"/>
    </row>
    <row r="44" customFormat="false" ht="12" hidden="false" customHeight="true" outlineLevel="0" collapsed="false">
      <c r="A44" s="428" t="s">
        <v>590</v>
      </c>
      <c r="B44" s="429" t="n">
        <f aca="false">(B37+B38+B39+B40+B41+B42)-B43</f>
        <v>7354.71105187156</v>
      </c>
      <c r="C44" s="429" t="n">
        <f aca="false">(C37+C38+C39+C40+C41+C42)-C43</f>
        <v>8629.74839177955</v>
      </c>
      <c r="D44" s="429" t="n">
        <f aca="false">(D37+D38+D39+D40+D41+D42)-D43</f>
        <v>7828.15479835756</v>
      </c>
      <c r="E44" s="429" t="n">
        <f aca="false">(E37+E38+E39+E40+E41+E42)-E43</f>
        <v>8286.32181053156</v>
      </c>
      <c r="F44" s="429" t="n">
        <f aca="false">(F37+F38+F39+F40+F41+F42)-F43</f>
        <v>8537.57140099155</v>
      </c>
      <c r="G44" s="429" t="n">
        <f aca="false">(G37+G38+G39+G40+G41+G42)-G43</f>
        <v>5923.42972897455</v>
      </c>
      <c r="H44" s="430" t="n">
        <f aca="false">(F44-B44)/B44</f>
        <v>0.160830295137019</v>
      </c>
      <c r="I44" s="419"/>
    </row>
    <row r="45" customFormat="false" ht="12" hidden="false" customHeight="true" outlineLevel="0" collapsed="false">
      <c r="A45" s="428" t="s">
        <v>272</v>
      </c>
      <c r="B45" s="429" t="n">
        <f aca="false">+B37+B38+B39+B40+B41+B42</f>
        <v>7354.71105187156</v>
      </c>
      <c r="C45" s="429" t="n">
        <f aca="false">+C37+C38+C39+C40+C41+C42+C43</f>
        <v>8629.74839177955</v>
      </c>
      <c r="D45" s="429" t="n">
        <f aca="false">+D37+D38+D39+D40+D41+D42+D43</f>
        <v>7828.15479835756</v>
      </c>
      <c r="E45" s="429" t="n">
        <f aca="false">+E37+E38+E39+E40+E41+E42+E43</f>
        <v>8286.32181053156</v>
      </c>
      <c r="F45" s="429" t="n">
        <f aca="false">+F37+F38+F39+F40+F41+F42+F43</f>
        <v>8537.57140099155</v>
      </c>
      <c r="G45" s="429" t="n">
        <f aca="false">+G37+G38+G39+G40+G41+G42+G43</f>
        <v>5923.42972897455</v>
      </c>
      <c r="H45" s="430" t="n">
        <f aca="false">(F45-B45)/B45</f>
        <v>0.160830295137019</v>
      </c>
      <c r="I45" s="419"/>
    </row>
    <row r="46" customFormat="false" ht="12" hidden="false" customHeight="true" outlineLevel="0" collapsed="false">
      <c r="A46" s="431" t="s">
        <v>609</v>
      </c>
      <c r="B46" s="434" t="n">
        <f aca="false">+B85</f>
        <v>7354.71105187156</v>
      </c>
      <c r="C46" s="434" t="n">
        <f aca="false">+C85</f>
        <v>8629.74839177956</v>
      </c>
      <c r="D46" s="434" t="n">
        <f aca="false">+D85</f>
        <v>7828.15479835756</v>
      </c>
      <c r="E46" s="434" t="n">
        <f aca="false">+E85</f>
        <v>8286.32181053156</v>
      </c>
      <c r="F46" s="434" t="n">
        <f aca="false">+F85</f>
        <v>8537.57140099155</v>
      </c>
      <c r="G46" s="434" t="n">
        <f aca="false">+G85</f>
        <v>5923.42972897456</v>
      </c>
      <c r="H46" s="338"/>
      <c r="I46" s="419"/>
    </row>
    <row r="47" customFormat="false" ht="12" hidden="false" customHeight="true" outlineLevel="0" collapsed="false">
      <c r="A47" s="435"/>
      <c r="B47" s="338"/>
      <c r="C47" s="338"/>
      <c r="D47" s="338"/>
      <c r="E47" s="338"/>
      <c r="F47" s="338"/>
      <c r="G47" s="338"/>
      <c r="H47" s="338"/>
      <c r="I47" s="419"/>
    </row>
    <row r="48" customFormat="false" ht="12" hidden="false" customHeight="true" outlineLevel="0" collapsed="false">
      <c r="A48" s="435"/>
      <c r="B48" s="338"/>
      <c r="C48" s="338"/>
      <c r="D48" s="338"/>
      <c r="E48" s="338"/>
      <c r="F48" s="338"/>
      <c r="G48" s="338"/>
      <c r="H48" s="338"/>
      <c r="I48" s="419"/>
    </row>
    <row r="49" customFormat="false" ht="12" hidden="false" customHeight="true" outlineLevel="0" collapsed="false">
      <c r="A49" s="435"/>
      <c r="B49" s="338"/>
      <c r="C49" s="338"/>
      <c r="D49" s="338"/>
      <c r="E49" s="338"/>
      <c r="F49" s="338"/>
      <c r="G49" s="338"/>
      <c r="H49" s="338"/>
      <c r="I49" s="419"/>
    </row>
    <row r="50" customFormat="false" ht="12" hidden="false" customHeight="true" outlineLevel="0" collapsed="false">
      <c r="A50" s="435"/>
      <c r="B50" s="338"/>
      <c r="C50" s="338"/>
      <c r="D50" s="338"/>
      <c r="E50" s="338"/>
      <c r="F50" s="338"/>
      <c r="G50" s="338"/>
      <c r="H50" s="338"/>
      <c r="I50" s="419"/>
    </row>
    <row r="51" customFormat="false" ht="12" hidden="false" customHeight="true" outlineLevel="0" collapsed="false">
      <c r="A51" s="435"/>
      <c r="B51" s="338"/>
      <c r="C51" s="338"/>
      <c r="D51" s="338"/>
      <c r="E51" s="338"/>
      <c r="F51" s="338"/>
      <c r="G51" s="338"/>
      <c r="H51" s="338"/>
      <c r="I51" s="419"/>
    </row>
    <row r="52" customFormat="false" ht="12" hidden="false" customHeight="true" outlineLevel="0" collapsed="false">
      <c r="A52" s="435"/>
      <c r="B52" s="338"/>
      <c r="C52" s="338"/>
      <c r="D52" s="338"/>
      <c r="E52" s="338"/>
      <c r="F52" s="338"/>
      <c r="G52" s="338"/>
      <c r="H52" s="338"/>
      <c r="I52" s="419"/>
    </row>
    <row r="53" customFormat="false" ht="12" hidden="false" customHeight="true" outlineLevel="0" collapsed="false">
      <c r="A53" s="435"/>
      <c r="B53" s="338"/>
      <c r="C53" s="338"/>
      <c r="D53" s="338"/>
      <c r="E53" s="338"/>
      <c r="F53" s="338"/>
      <c r="G53" s="338"/>
      <c r="H53" s="338"/>
      <c r="I53" s="419"/>
      <c r="J53" s="417" t="s">
        <v>729</v>
      </c>
      <c r="P53" s="417" t="s">
        <v>730</v>
      </c>
      <c r="W53" s="417" t="s">
        <v>731</v>
      </c>
    </row>
    <row r="54" customFormat="false" ht="12" hidden="false" customHeight="true" outlineLevel="0" collapsed="false">
      <c r="A54" s="421" t="s">
        <v>732</v>
      </c>
      <c r="B54" s="338"/>
      <c r="C54" s="338"/>
      <c r="D54" s="338"/>
      <c r="E54" s="338"/>
      <c r="F54" s="338"/>
      <c r="G54" s="338"/>
      <c r="H54" s="338"/>
      <c r="I54" s="419"/>
    </row>
    <row r="55" customFormat="false" ht="12" hidden="false" customHeight="true" outlineLevel="0" collapsed="false">
      <c r="A55" s="435"/>
      <c r="B55" s="338"/>
      <c r="C55" s="338"/>
      <c r="D55" s="338"/>
      <c r="E55" s="338"/>
      <c r="F55" s="338"/>
      <c r="G55" s="338"/>
      <c r="H55" s="338"/>
      <c r="I55" s="419"/>
    </row>
    <row r="56" customFormat="false" ht="12" hidden="false" customHeight="true" outlineLevel="0" collapsed="false">
      <c r="A56" s="422" t="s">
        <v>602</v>
      </c>
      <c r="B56" s="422" t="n">
        <v>2005</v>
      </c>
      <c r="C56" s="422" t="n">
        <v>2006</v>
      </c>
      <c r="D56" s="422" t="n">
        <v>2007</v>
      </c>
      <c r="E56" s="422" t="n">
        <v>2008</v>
      </c>
      <c r="F56" s="422" t="n">
        <v>2009</v>
      </c>
      <c r="G56" s="422" t="n">
        <v>2010</v>
      </c>
      <c r="H56" s="422" t="s">
        <v>582</v>
      </c>
      <c r="I56" s="419"/>
    </row>
    <row r="57" customFormat="false" ht="27" hidden="false" customHeight="false" outlineLevel="0" collapsed="false">
      <c r="A57" s="436" t="s">
        <v>733</v>
      </c>
      <c r="B57" s="437" t="n">
        <f aca="false">'9.ENLLUME i SEMÀFORS'!B10/1000</f>
        <v>835.611</v>
      </c>
      <c r="C57" s="437" t="n">
        <f aca="false">'9.ENLLUME i SEMÀFORS'!C10/1000</f>
        <v>1043.648</v>
      </c>
      <c r="D57" s="437" t="n">
        <f aca="false">'9.ENLLUME i SEMÀFORS'!D10/1000</f>
        <v>854.374</v>
      </c>
      <c r="E57" s="437" t="n">
        <f aca="false">'9.ENLLUME i SEMÀFORS'!E10/1000</f>
        <v>1037.84</v>
      </c>
      <c r="F57" s="437" t="n">
        <f aca="false">'9.ENLLUME i SEMÀFORS'!F10/1000</f>
        <v>963.455</v>
      </c>
      <c r="G57" s="437" t="n">
        <f aca="false">'9.ENLLUME i SEMÀFORS'!G10/1000</f>
        <v>813.533</v>
      </c>
      <c r="H57" s="425" t="n">
        <f aca="false">(F57-B57)/B57</f>
        <v>0.152994635063445</v>
      </c>
      <c r="I57" s="419"/>
    </row>
    <row r="58" customFormat="false" ht="25.5" hidden="false" customHeight="true" outlineLevel="0" collapsed="false">
      <c r="A58" s="436" t="s">
        <v>734</v>
      </c>
      <c r="B58" s="437" t="n">
        <f aca="false">'9.ENLLUME i SEMÀFORS'!$E$155/1000</f>
        <v>7.008</v>
      </c>
      <c r="C58" s="437" t="n">
        <f aca="false">'9.ENLLUME i SEMÀFORS'!$E$155/1000</f>
        <v>7.008</v>
      </c>
      <c r="D58" s="437" t="n">
        <f aca="false">'9.ENLLUME i SEMÀFORS'!$E$155/1000</f>
        <v>7.008</v>
      </c>
      <c r="E58" s="437" t="n">
        <f aca="false">'9.ENLLUME i SEMÀFORS'!$E$155/1000</f>
        <v>7.008</v>
      </c>
      <c r="F58" s="437" t="n">
        <f aca="false">'9.ENLLUME i SEMÀFORS'!$E$155/1000</f>
        <v>7.008</v>
      </c>
      <c r="G58" s="437" t="n">
        <f aca="false">'9.ENLLUME i SEMÀFORS'!$E$155/1000</f>
        <v>7.008</v>
      </c>
      <c r="H58" s="425" t="n">
        <v>0</v>
      </c>
      <c r="I58" s="419"/>
    </row>
    <row r="59" customFormat="false" ht="25.5" hidden="false" customHeight="true" outlineLevel="0" collapsed="false">
      <c r="A59" s="436" t="s">
        <v>735</v>
      </c>
      <c r="B59" s="437" t="n">
        <f aca="false">'8.EQUIPAM'!B11/1000</f>
        <v>2408.55473488372</v>
      </c>
      <c r="C59" s="437" t="n">
        <f aca="false">'8.EQUIPAM'!C11/1000</f>
        <v>2295.22273488372</v>
      </c>
      <c r="D59" s="437" t="n">
        <f aca="false">'8.EQUIPAM'!D11/1000</f>
        <v>2344.54773488372</v>
      </c>
      <c r="E59" s="437" t="n">
        <f aca="false">'8.EQUIPAM'!E11/1000</f>
        <v>2335.05373488372</v>
      </c>
      <c r="F59" s="437" t="n">
        <f aca="false">'8.EQUIPAM'!F11/1000</f>
        <v>2280.66273488372</v>
      </c>
      <c r="G59" s="437" t="n">
        <f aca="false">'8.EQUIPAM'!G11/1000</f>
        <v>2212.10773488372</v>
      </c>
      <c r="H59" s="425" t="n">
        <f aca="false">(F59-B59)/B59</f>
        <v>-0.0530990631633597</v>
      </c>
      <c r="I59" s="419"/>
    </row>
    <row r="60" customFormat="false" ht="27" hidden="false" customHeight="false" outlineLevel="0" collapsed="false">
      <c r="A60" s="436" t="s">
        <v>736</v>
      </c>
      <c r="B60" s="437" t="n">
        <f aca="false">'10. VEHICLES PROPIS'!B8/1000</f>
        <v>798.129805</v>
      </c>
      <c r="C60" s="437" t="n">
        <f aca="false">'10. VEHICLES PROPIS'!C8/1000</f>
        <v>1104.474305</v>
      </c>
      <c r="D60" s="437" t="n">
        <f aca="false">'10. VEHICLES PROPIS'!D8/1000</f>
        <v>1104.474305</v>
      </c>
      <c r="E60" s="437" t="n">
        <f aca="false">'10. VEHICLES PROPIS'!E8/1000</f>
        <v>1104.474305</v>
      </c>
      <c r="F60" s="437" t="n">
        <f aca="false">'10. VEHICLES PROPIS'!F8/1000</f>
        <v>1104.474305</v>
      </c>
      <c r="G60" s="437" t="n">
        <f aca="false">'10. VEHICLES PROPIS'!G8/1000</f>
        <v>1141.423255</v>
      </c>
      <c r="H60" s="425" t="n">
        <f aca="false">(F60-B60)/B60</f>
        <v>0.383827916312435</v>
      </c>
      <c r="I60" s="419"/>
    </row>
    <row r="61" customFormat="false" ht="27.75" hidden="false" customHeight="true" outlineLevel="0" collapsed="false">
      <c r="A61" s="436" t="s">
        <v>737</v>
      </c>
      <c r="B61" s="437" t="n">
        <f aca="false">'11. VEHICLES EXT.'!B8/1000</f>
        <v>577.01049385</v>
      </c>
      <c r="C61" s="437" t="n">
        <f aca="false">'11. VEHICLES EXT.'!C8/1000</f>
        <v>577.01049385</v>
      </c>
      <c r="D61" s="437" t="n">
        <f aca="false">'11. VEHICLES EXT.'!D8/1000</f>
        <v>577.01049385</v>
      </c>
      <c r="E61" s="437" t="n">
        <f aca="false">'11. VEHICLES EXT.'!E8/1000</f>
        <v>577.01049385</v>
      </c>
      <c r="F61" s="437" t="n">
        <f aca="false">'11. VEHICLES EXT.'!F8/1000</f>
        <v>577.01049385</v>
      </c>
      <c r="G61" s="437" t="n">
        <f aca="false">'11. VEHICLES EXT.'!G8/1000</f>
        <v>577.01049385</v>
      </c>
      <c r="H61" s="425" t="n">
        <f aca="false">(F61-B61)/B61</f>
        <v>0</v>
      </c>
      <c r="I61" s="419"/>
    </row>
    <row r="62" customFormat="false" ht="25.5" hidden="false" customHeight="true" outlineLevel="0" collapsed="false">
      <c r="A62" s="436" t="s">
        <v>290</v>
      </c>
      <c r="B62" s="437" t="n">
        <f aca="false">'7.AIGUA'!B25</f>
        <v>5631.29415</v>
      </c>
      <c r="C62" s="437" t="n">
        <f aca="false">'7.AIGUA'!C25</f>
        <v>6282.35712</v>
      </c>
      <c r="D62" s="437" t="n">
        <f aca="false">'7.AIGUA'!D25</f>
        <v>6378.18426</v>
      </c>
      <c r="E62" s="437" t="n">
        <f aca="false">'7.AIGUA'!E25</f>
        <v>6693.7638</v>
      </c>
      <c r="F62" s="437" t="n">
        <f aca="false">'7.AIGUA'!F25</f>
        <v>6891.7632</v>
      </c>
      <c r="G62" s="437" t="n">
        <f aca="false">'7.AIGUA'!G25</f>
        <v>4016.25713</v>
      </c>
      <c r="H62" s="425" t="n">
        <f aca="false">(F62-B62)/B62</f>
        <v>0.223832926575146</v>
      </c>
      <c r="I62" s="419"/>
    </row>
    <row r="63" customFormat="false" ht="27" hidden="false" customHeight="false" outlineLevel="0" collapsed="false">
      <c r="A63" s="436" t="s">
        <v>738</v>
      </c>
      <c r="B63" s="424" t="n">
        <v>0</v>
      </c>
      <c r="C63" s="424" t="n">
        <v>0</v>
      </c>
      <c r="D63" s="424" t="n">
        <v>0</v>
      </c>
      <c r="E63" s="424" t="n">
        <v>0</v>
      </c>
      <c r="F63" s="424" t="n">
        <v>0</v>
      </c>
      <c r="G63" s="424" t="n">
        <v>0</v>
      </c>
      <c r="H63" s="425" t="n">
        <v>0</v>
      </c>
      <c r="I63" s="419"/>
    </row>
    <row r="64" customFormat="false" ht="13.5" hidden="false" customHeight="false" outlineLevel="0" collapsed="false">
      <c r="A64" s="428" t="s">
        <v>590</v>
      </c>
      <c r="B64" s="438" t="n">
        <f aca="false">SUM(B57:B62)-B63</f>
        <v>10257.6081837337</v>
      </c>
      <c r="C64" s="438" t="n">
        <f aca="false">SUM(C57:C62)-C63</f>
        <v>11309.7206537337</v>
      </c>
      <c r="D64" s="438" t="n">
        <f aca="false">SUM(D57:D62)-D63</f>
        <v>11265.5987937337</v>
      </c>
      <c r="E64" s="438" t="n">
        <f aca="false">SUM(E57:E62)-E63</f>
        <v>11755.1503337337</v>
      </c>
      <c r="F64" s="438" t="n">
        <f aca="false">SUM(F57:F62)-F63</f>
        <v>11824.3737337337</v>
      </c>
      <c r="G64" s="438" t="n">
        <f aca="false">SUM(G57:G62)-G63</f>
        <v>8767.33961373372</v>
      </c>
      <c r="H64" s="430" t="n">
        <f aca="false">(F64-B64)/B64</f>
        <v>0.152741801201233</v>
      </c>
      <c r="I64" s="419"/>
    </row>
    <row r="65" customFormat="false" ht="12" hidden="false" customHeight="true" outlineLevel="0" collapsed="false">
      <c r="A65" s="428" t="s">
        <v>292</v>
      </c>
      <c r="B65" s="438" t="n">
        <f aca="false">SUM(B57:B62)</f>
        <v>10257.6081837337</v>
      </c>
      <c r="C65" s="438" t="n">
        <f aca="false">SUM(C57:C63)</f>
        <v>11309.7206537337</v>
      </c>
      <c r="D65" s="438" t="n">
        <f aca="false">SUM(D57:D63)</f>
        <v>11265.5987937337</v>
      </c>
      <c r="E65" s="438" t="n">
        <f aca="false">SUM(E57:E63)</f>
        <v>11755.1503337337</v>
      </c>
      <c r="F65" s="438" t="n">
        <f aca="false">SUM(F57:F63)</f>
        <v>11824.3737337337</v>
      </c>
      <c r="G65" s="438" t="n">
        <f aca="false">SUM(G57:G63)</f>
        <v>8767.33961373372</v>
      </c>
      <c r="H65" s="430" t="n">
        <f aca="false">(F65-B65)/B65</f>
        <v>0.152741801201233</v>
      </c>
      <c r="L65" s="407"/>
      <c r="M65" s="407"/>
      <c r="N65" s="407"/>
      <c r="O65" s="407"/>
      <c r="P65" s="407"/>
      <c r="Q65" s="407"/>
      <c r="R65" s="407"/>
      <c r="S65" s="407"/>
      <c r="T65" s="407"/>
      <c r="U65" s="407"/>
    </row>
    <row r="66" s="407" customFormat="true" ht="12" hidden="false" customHeight="true" outlineLevel="0" collapsed="false">
      <c r="A66" s="435"/>
      <c r="B66" s="439"/>
      <c r="C66" s="439"/>
      <c r="D66" s="439"/>
      <c r="E66" s="439"/>
      <c r="F66" s="439"/>
      <c r="G66" s="439"/>
      <c r="H66" s="440"/>
    </row>
    <row r="67" s="407" customFormat="true" ht="12" hidden="false" customHeight="true" outlineLevel="0" collapsed="false">
      <c r="A67" s="435"/>
      <c r="B67" s="439"/>
      <c r="C67" s="439"/>
      <c r="D67" s="439"/>
      <c r="E67" s="439"/>
      <c r="F67" s="439"/>
      <c r="G67" s="439"/>
      <c r="H67" s="440"/>
    </row>
    <row r="68" s="407" customFormat="true" ht="12" hidden="false" customHeight="true" outlineLevel="0" collapsed="false">
      <c r="A68" s="435"/>
      <c r="B68" s="439"/>
      <c r="C68" s="439"/>
      <c r="D68" s="439"/>
      <c r="E68" s="439"/>
      <c r="F68" s="439"/>
      <c r="G68" s="439"/>
      <c r="H68" s="440"/>
    </row>
    <row r="69" s="407" customFormat="true" ht="12" hidden="false" customHeight="true" outlineLevel="0" collapsed="false">
      <c r="A69" s="435"/>
      <c r="B69" s="439"/>
      <c r="C69" s="439"/>
      <c r="D69" s="439"/>
      <c r="E69" s="439"/>
      <c r="F69" s="439"/>
      <c r="G69" s="439"/>
      <c r="H69" s="440"/>
    </row>
    <row r="70" s="407" customFormat="true" ht="12" hidden="false" customHeight="true" outlineLevel="0" collapsed="false">
      <c r="A70" s="435"/>
      <c r="B70" s="439"/>
      <c r="C70" s="439"/>
      <c r="D70" s="439"/>
      <c r="E70" s="439"/>
      <c r="F70" s="439"/>
      <c r="G70" s="439"/>
      <c r="H70" s="440"/>
    </row>
    <row r="71" s="407" customFormat="true" ht="12" hidden="false" customHeight="true" outlineLevel="0" collapsed="false">
      <c r="A71" s="435"/>
      <c r="B71" s="439"/>
      <c r="C71" s="439"/>
      <c r="D71" s="439"/>
      <c r="E71" s="439"/>
      <c r="F71" s="439"/>
      <c r="G71" s="439"/>
      <c r="H71" s="440"/>
    </row>
    <row r="72" s="407" customFormat="true" ht="12" hidden="false" customHeight="true" outlineLevel="0" collapsed="false">
      <c r="A72" s="435"/>
      <c r="B72" s="439"/>
      <c r="C72" s="439"/>
      <c r="D72" s="439"/>
      <c r="E72" s="439"/>
      <c r="F72" s="439"/>
      <c r="G72" s="439"/>
      <c r="H72" s="440"/>
      <c r="J72" s="417" t="s">
        <v>739</v>
      </c>
      <c r="P72" s="417" t="s">
        <v>740</v>
      </c>
      <c r="W72" s="417" t="s">
        <v>741</v>
      </c>
    </row>
    <row r="73" s="407" customFormat="true" ht="12" hidden="false" customHeight="true" outlineLevel="0" collapsed="false">
      <c r="A73" s="435"/>
      <c r="B73" s="439"/>
      <c r="C73" s="439"/>
      <c r="D73" s="439"/>
      <c r="E73" s="439"/>
      <c r="F73" s="439"/>
      <c r="G73" s="439"/>
      <c r="H73" s="440"/>
      <c r="P73" s="408"/>
      <c r="W73" s="408"/>
    </row>
    <row r="74" s="407" customFormat="true" ht="12" hidden="false" customHeight="true" outlineLevel="0" collapsed="false">
      <c r="A74" s="433" t="s">
        <v>742</v>
      </c>
      <c r="B74" s="439"/>
      <c r="C74" s="439"/>
      <c r="D74" s="439"/>
      <c r="E74" s="439"/>
      <c r="F74" s="439"/>
      <c r="G74" s="439"/>
      <c r="H74" s="440"/>
      <c r="P74" s="408"/>
      <c r="W74" s="408"/>
    </row>
    <row r="75" s="407" customFormat="true" ht="12" hidden="false" customHeight="true" outlineLevel="0" collapsed="false">
      <c r="A75" s="420"/>
      <c r="B75" s="439"/>
      <c r="C75" s="439"/>
      <c r="D75" s="439"/>
      <c r="E75" s="439"/>
      <c r="F75" s="439"/>
      <c r="G75" s="439"/>
      <c r="H75" s="440"/>
      <c r="P75" s="408"/>
      <c r="W75" s="408"/>
    </row>
    <row r="76" customFormat="false" ht="12" hidden="false" customHeight="true" outlineLevel="0" collapsed="false">
      <c r="A76" s="422" t="s">
        <v>602</v>
      </c>
      <c r="B76" s="422" t="n">
        <v>2005</v>
      </c>
      <c r="C76" s="422" t="n">
        <v>2006</v>
      </c>
      <c r="D76" s="422" t="n">
        <v>2007</v>
      </c>
      <c r="E76" s="422" t="n">
        <v>2008</v>
      </c>
      <c r="F76" s="422" t="n">
        <v>2009</v>
      </c>
      <c r="G76" s="422" t="n">
        <v>2010</v>
      </c>
      <c r="H76" s="422" t="s">
        <v>582</v>
      </c>
    </row>
    <row r="77" customFormat="false" ht="25.5" hidden="false" customHeight="true" outlineLevel="0" collapsed="false">
      <c r="A77" s="436" t="s">
        <v>733</v>
      </c>
      <c r="B77" s="437" t="n">
        <f aca="false">B57*B7</f>
        <v>705.0885618</v>
      </c>
      <c r="C77" s="437" t="n">
        <f aca="false">C57*C7</f>
        <v>948.0498432</v>
      </c>
      <c r="D77" s="437" t="n">
        <f aca="false">D57*D7</f>
        <v>701.5264914</v>
      </c>
      <c r="E77" s="437" t="n">
        <f aca="false">E57*E7</f>
        <v>858.501248</v>
      </c>
      <c r="F77" s="437" t="n">
        <f aca="false">F57*F7</f>
        <v>817.1061855</v>
      </c>
      <c r="G77" s="437" t="n">
        <f aca="false">G57*G7</f>
        <v>689.9573373</v>
      </c>
      <c r="H77" s="425" t="n">
        <f aca="false">(F77-B77)/B77</f>
        <v>0.158870289164858</v>
      </c>
    </row>
    <row r="78" customFormat="false" ht="25.5" hidden="false" customHeight="true" outlineLevel="0" collapsed="false">
      <c r="A78" s="436" t="s">
        <v>734</v>
      </c>
      <c r="B78" s="437" t="n">
        <f aca="false">B58*B7</f>
        <v>5.9133504</v>
      </c>
      <c r="C78" s="437" t="n">
        <f aca="false">C58*C7</f>
        <v>6.3660672</v>
      </c>
      <c r="D78" s="437" t="n">
        <f aca="false">D58*D7</f>
        <v>5.7542688</v>
      </c>
      <c r="E78" s="437" t="n">
        <f aca="false">E58*E7</f>
        <v>5.7970176</v>
      </c>
      <c r="F78" s="437" t="n">
        <f aca="false">F58*F7</f>
        <v>5.9434848</v>
      </c>
      <c r="G78" s="437" t="n">
        <f aca="false">G58*G7</f>
        <v>5.9434848</v>
      </c>
      <c r="H78" s="425" t="n">
        <f aca="false">(F78-B78)/B78</f>
        <v>0.00509599431144815</v>
      </c>
    </row>
    <row r="79" customFormat="false" ht="25.5" hidden="false" customHeight="true" outlineLevel="0" collapsed="false">
      <c r="A79" s="436" t="s">
        <v>735</v>
      </c>
      <c r="B79" s="437" t="n">
        <f aca="false">('8.EQUIPAM'!H85*'T.AJUNTAMENT'!B7+'8.EQUIPAM'!H115*'T.AJUNTAMENT'!B8+'8.EQUIPAM'!H176*'T.AJUNTAMENT'!B10+'8.EQUIPAM'!H237*'T.AJUNTAMENT'!B9)/1000</f>
        <v>1528.7187312186</v>
      </c>
      <c r="C79" s="437" t="n">
        <f aca="false">('8.EQUIPAM'!I85*'T.AJUNTAMENT'!C7+'8.EQUIPAM'!I115*'T.AJUNTAMENT'!C8+'8.EQUIPAM'!I176*'T.AJUNTAMENT'!C10+'8.EQUIPAM'!I237*'T.AJUNTAMENT'!C9)/1000</f>
        <v>1525.7292072186</v>
      </c>
      <c r="D79" s="437" t="n">
        <f aca="false">('8.EQUIPAM'!J85*'T.AJUNTAMENT'!D7+'8.EQUIPAM'!J115*'T.AJUNTAMENT'!D8+'8.EQUIPAM'!J176*'T.AJUNTAMENT'!D10+'8.EQUIPAM'!J237*'T.AJUNTAMENT'!D9)/1000</f>
        <v>1441.0368759186</v>
      </c>
      <c r="E79" s="437" t="n">
        <f aca="false">('8.EQUIPAM'!K85*'T.AJUNTAMENT'!E7+'8.EQUIPAM'!K115*'T.AJUNTAMENT'!E8+'8.EQUIPAM'!K176*'T.AJUNTAMENT'!E10+'8.EQUIPAM'!K237*'T.AJUNTAMENT'!E9)/1000</f>
        <v>1442.2320632186</v>
      </c>
      <c r="F79" s="437" t="n">
        <f aca="false">('8.EQUIPAM'!L85*'T.AJUNTAMENT'!F7+'8.EQUIPAM'!L115*'T.AJUNTAMENT'!F8+'8.EQUIPAM'!L176*'T.AJUNTAMENT'!F10+'8.EQUIPAM'!L237*'T.AJUNTAMENT'!F9)/1000</f>
        <v>1426.9072944186</v>
      </c>
      <c r="G79" s="437" t="n">
        <f aca="false">('8.EQUIPAM'!M85*'T.AJUNTAMENT'!G7+'8.EQUIPAM'!M115*'T.AJUNTAMENT'!G8+'8.EQUIPAM'!M176*'T.AJUNTAMENT'!G10+'8.EQUIPAM'!M237*'T.AJUNTAMENT'!G9)/1000</f>
        <v>1368.7657989186</v>
      </c>
      <c r="H79" s="425" t="n">
        <f aca="false">(F79-B79)/B79</f>
        <v>-0.066599194947289</v>
      </c>
    </row>
    <row r="80" customFormat="false" ht="27" hidden="false" customHeight="false" outlineLevel="0" collapsed="false">
      <c r="A80" s="436" t="s">
        <v>736</v>
      </c>
      <c r="B80" s="437" t="n">
        <f aca="false">('10. VEHICLES PROPIS'!D73*'T.AJUNTAMENT'!B10+'10. VEHICLES PROPIS'!D109*'T.AJUNTAMENT'!B11)/1000</f>
        <v>209.242602825</v>
      </c>
      <c r="C80" s="437" t="n">
        <f aca="false">('10. VEHICLES PROPIS'!E73*'T.AJUNTAMENT'!C10+'10. VEHICLES PROPIS'!E109*'T.AJUNTAMENT'!C11)/1000</f>
        <v>288.648264495</v>
      </c>
      <c r="D80" s="437" t="n">
        <f aca="false">('10. VEHICLES PROPIS'!F73*'T.AJUNTAMENT'!D10+'10. VEHICLES PROPIS'!F109*'T.AJUNTAMENT'!D11)/1000</f>
        <v>288.648264495</v>
      </c>
      <c r="E80" s="437" t="n">
        <f aca="false">('10. VEHICLES PROPIS'!G73*'T.AJUNTAMENT'!E10+'10. VEHICLES PROPIS'!G109*'T.AJUNTAMENT'!E11)/1000</f>
        <v>288.648264495</v>
      </c>
      <c r="F80" s="437" t="n">
        <f aca="false">('10. VEHICLES PROPIS'!H73*'T.AJUNTAMENT'!F10+'10. VEHICLES PROPIS'!H109*'T.AJUNTAMENT'!F11)/1000</f>
        <v>288.648264495</v>
      </c>
      <c r="G80" s="437" t="n">
        <f aca="false">('10. VEHICLES PROPIS'!I73*'T.AJUNTAMENT'!G10+'10. VEHICLES PROPIS'!I109*'T.AJUNTAMENT'!G11)/1000</f>
        <v>298.513634145</v>
      </c>
      <c r="H80" s="425" t="n">
        <f aca="false">(F80-B80)/B80</f>
        <v>0.379490890468472</v>
      </c>
    </row>
    <row r="81" customFormat="false" ht="25.5" hidden="false" customHeight="true" outlineLevel="0" collapsed="false">
      <c r="A81" s="436" t="s">
        <v>737</v>
      </c>
      <c r="B81" s="437" t="n">
        <f aca="false">('11. VEHICLES EXT.'!D72*'T.AJUNTAMENT'!B10+'11. VEHICLES EXT.'!D110*'T.AJUNTAMENT'!B11)/1000</f>
        <v>154.06180185795</v>
      </c>
      <c r="C81" s="437" t="n">
        <f aca="false">('11. VEHICLES EXT.'!E72*'T.AJUNTAMENT'!C10+'11. VEHICLES EXT.'!E110*'T.AJUNTAMENT'!C11)/1000</f>
        <v>154.06180185795</v>
      </c>
      <c r="D81" s="437" t="n">
        <f aca="false">('11. VEHICLES EXT.'!F72*'T.AJUNTAMENT'!D10+'11. VEHICLES EXT.'!F110*'T.AJUNTAMENT'!D11)/1000</f>
        <v>154.06180185795</v>
      </c>
      <c r="E81" s="437" t="n">
        <f aca="false">('11. VEHICLES EXT.'!G72*'T.AJUNTAMENT'!E10+'11. VEHICLES EXT.'!G110*'T.AJUNTAMENT'!E11)/1000</f>
        <v>154.06180185795</v>
      </c>
      <c r="F81" s="437" t="n">
        <f aca="false">('11. VEHICLES EXT.'!H72*'T.AJUNTAMENT'!F10+'11. VEHICLES EXT.'!H110*'T.AJUNTAMENT'!F11)/1000</f>
        <v>154.06180185795</v>
      </c>
      <c r="G81" s="437" t="n">
        <f aca="false">('11. VEHICLES EXT.'!I72*'T.AJUNTAMENT'!G10+'11. VEHICLES EXT.'!I110*'T.AJUNTAMENT'!G11)/1000</f>
        <v>154.06180185795</v>
      </c>
      <c r="H81" s="425" t="n">
        <f aca="false">(F81-B81)/B81</f>
        <v>0</v>
      </c>
    </row>
    <row r="82" customFormat="false" ht="25.5" hidden="false" customHeight="true" outlineLevel="0" collapsed="false">
      <c r="A82" s="436" t="s">
        <v>290</v>
      </c>
      <c r="B82" s="437" t="n">
        <f aca="false">B62*B7</f>
        <v>4751.68600377</v>
      </c>
      <c r="C82" s="437" t="n">
        <f aca="false">C62*C7</f>
        <v>5706.893207808</v>
      </c>
      <c r="D82" s="437" t="n">
        <f aca="false">D62*D7</f>
        <v>5237.127095886</v>
      </c>
      <c r="E82" s="437" t="n">
        <f aca="false">E62*E7</f>
        <v>5537.08141536</v>
      </c>
      <c r="F82" s="437" t="n">
        <f aca="false">F62*F7</f>
        <v>5844.90436992</v>
      </c>
      <c r="G82" s="437" t="n">
        <f aca="false">G62*G7</f>
        <v>3406.187671953</v>
      </c>
      <c r="H82" s="425" t="n">
        <f aca="false">(F82-B82)/B82</f>
        <v>0.230069572207136</v>
      </c>
    </row>
    <row r="83" customFormat="false" ht="27" hidden="false" customHeight="false" outlineLevel="0" collapsed="false">
      <c r="A83" s="436" t="s">
        <v>738</v>
      </c>
      <c r="B83" s="424" t="n">
        <v>0</v>
      </c>
      <c r="C83" s="424" t="n">
        <v>0</v>
      </c>
      <c r="D83" s="424" t="n">
        <v>0</v>
      </c>
      <c r="E83" s="424" t="n">
        <v>0</v>
      </c>
      <c r="F83" s="424" t="n">
        <v>0</v>
      </c>
      <c r="G83" s="424" t="n">
        <v>0</v>
      </c>
      <c r="H83" s="425" t="n">
        <v>0</v>
      </c>
      <c r="K83" s="407" t="n">
        <f aca="false">(422.7-363.3)/363.3</f>
        <v>0.163501238645747</v>
      </c>
    </row>
    <row r="84" customFormat="false" ht="13.5" hidden="false" customHeight="false" outlineLevel="0" collapsed="false">
      <c r="A84" s="428" t="s">
        <v>590</v>
      </c>
      <c r="B84" s="438" t="n">
        <f aca="false">SUM(B77:B82)-B83</f>
        <v>7354.71105187156</v>
      </c>
      <c r="C84" s="438" t="n">
        <f aca="false">SUM(C77:C82)-C83</f>
        <v>8629.74839177956</v>
      </c>
      <c r="D84" s="438" t="n">
        <f aca="false">SUM(D77:D82)-D83</f>
        <v>7828.15479835756</v>
      </c>
      <c r="E84" s="438" t="n">
        <f aca="false">SUM(E77:E82)-E83</f>
        <v>8286.32181053156</v>
      </c>
      <c r="F84" s="438" t="n">
        <f aca="false">SUM(F77:F82)-F83</f>
        <v>8537.57140099155</v>
      </c>
      <c r="G84" s="438" t="n">
        <f aca="false">SUM(G77:G82)-G83</f>
        <v>5923.42972897456</v>
      </c>
      <c r="H84" s="430" t="n">
        <f aca="false">(F84-B84)/B84</f>
        <v>0.160830295137019</v>
      </c>
      <c r="K84" s="407" t="n">
        <f aca="false">(823-711)/711</f>
        <v>0.157524613220816</v>
      </c>
    </row>
    <row r="85" customFormat="false" ht="12" hidden="false" customHeight="true" outlineLevel="0" collapsed="false">
      <c r="A85" s="428" t="s">
        <v>292</v>
      </c>
      <c r="B85" s="438" t="n">
        <f aca="false">SUM(B77:B83)</f>
        <v>7354.71105187156</v>
      </c>
      <c r="C85" s="438" t="n">
        <f aca="false">SUM(C77:C83)</f>
        <v>8629.74839177956</v>
      </c>
      <c r="D85" s="438" t="n">
        <f aca="false">SUM(D77:D83)</f>
        <v>7828.15479835756</v>
      </c>
      <c r="E85" s="438" t="n">
        <f aca="false">SUM(E77:E83)</f>
        <v>8286.32181053156</v>
      </c>
      <c r="F85" s="438" t="n">
        <f aca="false">SUM(F77:F83)</f>
        <v>8537.57140099155</v>
      </c>
      <c r="G85" s="438" t="n">
        <f aca="false">SUM(G77:G83)</f>
        <v>5923.42972897456</v>
      </c>
      <c r="H85" s="430" t="n">
        <f aca="false">(F85-B85)/B85</f>
        <v>0.160830295137019</v>
      </c>
      <c r="K85" s="407" t="n">
        <f aca="false">(1426.9-1528.7)/1528.7</f>
        <v>-0.066592529600314</v>
      </c>
    </row>
    <row r="86" customFormat="false" ht="12" hidden="false" customHeight="true" outlineLevel="0" collapsed="false">
      <c r="A86" s="435"/>
      <c r="B86" s="439"/>
      <c r="C86" s="439"/>
      <c r="D86" s="439"/>
      <c r="E86" s="439"/>
      <c r="F86" s="439"/>
      <c r="G86" s="439"/>
      <c r="H86" s="440"/>
    </row>
    <row r="87" customFormat="false" ht="12" hidden="false" customHeight="true" outlineLevel="0" collapsed="false">
      <c r="A87" s="435"/>
      <c r="B87" s="439"/>
      <c r="C87" s="439"/>
      <c r="D87" s="439"/>
      <c r="E87" s="439"/>
      <c r="F87" s="439"/>
      <c r="G87" s="439"/>
      <c r="H87" s="440"/>
    </row>
    <row r="88" customFormat="false" ht="12" hidden="false" customHeight="true" outlineLevel="0" collapsed="false">
      <c r="A88" s="435"/>
      <c r="B88" s="441" t="n">
        <f aca="false">B85/'T. PAES'!B73</f>
        <v>0.0678445760338625</v>
      </c>
      <c r="C88" s="441" t="n">
        <f aca="false">C85/'T. PAES'!C73</f>
        <v>0.0722637642574732</v>
      </c>
      <c r="D88" s="441" t="n">
        <f aca="false">D85/'T. PAES'!D73</f>
        <v>0.0666791556245234</v>
      </c>
      <c r="E88" s="441" t="n">
        <f aca="false">E85/'T. PAES'!E73</f>
        <v>0.0727363468707423</v>
      </c>
      <c r="F88" s="441" t="n">
        <f aca="false">F85/'T. PAES'!F73</f>
        <v>0.0760793137413332</v>
      </c>
      <c r="G88" s="441" t="n">
        <f aca="false">G85/'T. PAES'!G73</f>
        <v>0.053671886053533</v>
      </c>
      <c r="H88" s="440"/>
    </row>
    <row r="89" customFormat="false" ht="12" hidden="false" customHeight="true" outlineLevel="0" collapsed="false">
      <c r="A89" s="442" t="s">
        <v>743</v>
      </c>
      <c r="B89" s="439"/>
      <c r="C89" s="439"/>
      <c r="D89" s="439"/>
      <c r="E89" s="439"/>
      <c r="F89" s="439"/>
      <c r="G89" s="439"/>
      <c r="H89" s="440"/>
    </row>
    <row r="90" customFormat="false" ht="12" hidden="false" customHeight="true" outlineLevel="0" collapsed="false">
      <c r="A90" s="435"/>
      <c r="B90" s="439"/>
      <c r="C90" s="439"/>
      <c r="D90" s="439"/>
      <c r="E90" s="439"/>
      <c r="F90" s="439"/>
      <c r="G90" s="439"/>
      <c r="H90" s="440"/>
    </row>
    <row r="91" customFormat="false" ht="12" hidden="false" customHeight="true" outlineLevel="0" collapsed="false">
      <c r="A91" s="422" t="s">
        <v>744</v>
      </c>
      <c r="B91" s="422" t="n">
        <v>2005</v>
      </c>
      <c r="C91" s="422" t="n">
        <v>2006</v>
      </c>
      <c r="D91" s="422" t="n">
        <v>2007</v>
      </c>
      <c r="E91" s="422" t="n">
        <v>2008</v>
      </c>
      <c r="F91" s="422" t="n">
        <v>2009</v>
      </c>
      <c r="G91" s="422" t="n">
        <v>2010</v>
      </c>
      <c r="H91" s="422" t="s">
        <v>582</v>
      </c>
    </row>
    <row r="92" customFormat="false" ht="12" hidden="false" customHeight="true" outlineLevel="0" collapsed="false">
      <c r="A92" s="423" t="s">
        <v>140</v>
      </c>
      <c r="B92" s="424" t="n">
        <f aca="false">'9.ENLLUME i SEMÀFORS'!B10</f>
        <v>835611</v>
      </c>
      <c r="C92" s="424" t="n">
        <f aca="false">'9.ENLLUME i SEMÀFORS'!C10</f>
        <v>1043648</v>
      </c>
      <c r="D92" s="424" t="n">
        <f aca="false">'9.ENLLUME i SEMÀFORS'!D10</f>
        <v>854374</v>
      </c>
      <c r="E92" s="424" t="n">
        <f aca="false">'9.ENLLUME i SEMÀFORS'!E10</f>
        <v>1037840</v>
      </c>
      <c r="F92" s="424" t="n">
        <f aca="false">'9.ENLLUME i SEMÀFORS'!F10</f>
        <v>963455</v>
      </c>
      <c r="G92" s="424" t="n">
        <f aca="false">'9.ENLLUME i SEMÀFORS'!G10</f>
        <v>813533</v>
      </c>
      <c r="H92" s="425" t="n">
        <f aca="false">(F92-B92)/B92</f>
        <v>0.152994635063445</v>
      </c>
    </row>
    <row r="93" customFormat="false" ht="12" hidden="false" customHeight="true" outlineLevel="0" collapsed="false">
      <c r="A93" s="423" t="s">
        <v>745</v>
      </c>
      <c r="B93" s="443" t="n">
        <f aca="false">B4</f>
        <v>11037</v>
      </c>
      <c r="C93" s="443" t="n">
        <f aca="false">C4</f>
        <v>11594</v>
      </c>
      <c r="D93" s="443" t="n">
        <f aca="false">D4</f>
        <v>12091</v>
      </c>
      <c r="E93" s="443" t="n">
        <f aca="false">E4</f>
        <v>12406</v>
      </c>
      <c r="F93" s="443" t="n">
        <f aca="false">F4</f>
        <v>12789</v>
      </c>
      <c r="G93" s="443" t="n">
        <f aca="false">G4</f>
        <v>12731</v>
      </c>
      <c r="H93" s="425" t="n">
        <f aca="false">(F93-B93)/B93</f>
        <v>0.158738787714053</v>
      </c>
    </row>
    <row r="94" customFormat="false" ht="12" hidden="false" customHeight="true" outlineLevel="0" collapsed="false">
      <c r="A94" s="423" t="s">
        <v>746</v>
      </c>
      <c r="B94" s="424" t="n">
        <f aca="false">'9.ENLLUME i SEMÀFORS'!B7</f>
        <v>2781</v>
      </c>
      <c r="C94" s="424" t="n">
        <f aca="false">'9.ENLLUME i SEMÀFORS'!C7</f>
        <v>2781</v>
      </c>
      <c r="D94" s="424" t="n">
        <f aca="false">'9.ENLLUME i SEMÀFORS'!D7</f>
        <v>2781</v>
      </c>
      <c r="E94" s="424" t="n">
        <f aca="false">'9.ENLLUME i SEMÀFORS'!E7</f>
        <v>2781</v>
      </c>
      <c r="F94" s="424" t="n">
        <f aca="false">'9.ENLLUME i SEMÀFORS'!F7</f>
        <v>2781</v>
      </c>
      <c r="G94" s="424" t="n">
        <f aca="false">'9.ENLLUME i SEMÀFORS'!G7</f>
        <v>2781</v>
      </c>
      <c r="H94" s="425" t="n">
        <f aca="false">(F94-B94)/B94</f>
        <v>0</v>
      </c>
    </row>
    <row r="95" customFormat="false" ht="12" hidden="false" customHeight="true" outlineLevel="0" collapsed="false">
      <c r="A95" s="423" t="s">
        <v>747</v>
      </c>
      <c r="B95" s="424" t="n">
        <f aca="false">B92/B93</f>
        <v>75.7099755368307</v>
      </c>
      <c r="C95" s="424" t="n">
        <f aca="false">C92/C93</f>
        <v>90.0162152837675</v>
      </c>
      <c r="D95" s="424" t="n">
        <f aca="false">D92/D93</f>
        <v>70.6619799851129</v>
      </c>
      <c r="E95" s="424" t="n">
        <f aca="false">E92/E93</f>
        <v>83.656295340964</v>
      </c>
      <c r="F95" s="424" t="n">
        <f aca="false">F92/F93</f>
        <v>75.3346626006725</v>
      </c>
      <c r="G95" s="424" t="n">
        <f aca="false">G92/G93</f>
        <v>63.9017359201948</v>
      </c>
      <c r="H95" s="425" t="n">
        <f aca="false">(F95-B95)/B95</f>
        <v>-0.00495724550823051</v>
      </c>
    </row>
    <row r="96" customFormat="false" ht="13.5" hidden="false" customHeight="true" outlineLevel="0" collapsed="false">
      <c r="A96" s="423" t="s">
        <v>748</v>
      </c>
      <c r="B96" s="424" t="n">
        <f aca="false">B92/B94</f>
        <v>300.471413160734</v>
      </c>
      <c r="C96" s="424" t="n">
        <f aca="false">C92/C94</f>
        <v>375.27795756922</v>
      </c>
      <c r="D96" s="424" t="n">
        <f aca="false">D92/D94</f>
        <v>307.2182668105</v>
      </c>
      <c r="E96" s="424" t="n">
        <f aca="false">E92/E94</f>
        <v>373.189500179791</v>
      </c>
      <c r="F96" s="424" t="n">
        <f aca="false">F92/F94</f>
        <v>346.441927364257</v>
      </c>
      <c r="G96" s="424" t="n">
        <f aca="false">G92/G94</f>
        <v>292.532542250989</v>
      </c>
      <c r="H96" s="425" t="n">
        <f aca="false">(F96-B96)/B96</f>
        <v>0.152994635063445</v>
      </c>
    </row>
    <row r="97" customFormat="false" ht="12" hidden="false" customHeight="true" outlineLevel="0" collapsed="false">
      <c r="A97" s="444"/>
      <c r="B97" s="445"/>
      <c r="C97" s="445"/>
      <c r="D97" s="445"/>
      <c r="E97" s="445"/>
      <c r="F97" s="445"/>
      <c r="G97" s="445"/>
      <c r="H97" s="446"/>
    </row>
    <row r="98" s="408" customFormat="true" ht="12" hidden="false" customHeight="true" outlineLevel="0" collapsed="false">
      <c r="A98" s="435"/>
      <c r="B98" s="338"/>
      <c r="C98" s="338"/>
      <c r="D98" s="338"/>
      <c r="E98" s="338"/>
      <c r="F98" s="338"/>
      <c r="G98" s="338"/>
      <c r="H98" s="447"/>
      <c r="I98" s="407"/>
      <c r="J98" s="407"/>
      <c r="K98" s="407"/>
    </row>
    <row r="99" customFormat="false" ht="12" hidden="false" customHeight="true" outlineLevel="0" collapsed="false">
      <c r="A99" s="435"/>
      <c r="B99" s="439"/>
      <c r="C99" s="439"/>
      <c r="D99" s="439"/>
      <c r="E99" s="439"/>
      <c r="F99" s="439"/>
      <c r="G99" s="439"/>
      <c r="H99" s="440"/>
    </row>
    <row r="100" customFormat="false" ht="12" hidden="false" customHeight="true" outlineLevel="0" collapsed="false">
      <c r="A100" s="442" t="s">
        <v>749</v>
      </c>
      <c r="B100" s="448"/>
      <c r="C100" s="448"/>
      <c r="D100" s="448"/>
      <c r="E100" s="448"/>
      <c r="F100" s="448"/>
      <c r="G100" s="150"/>
      <c r="H100" s="155"/>
    </row>
    <row r="101" customFormat="false" ht="12" hidden="false" customHeight="true" outlineLevel="0" collapsed="false">
      <c r="A101" s="448"/>
      <c r="B101" s="150"/>
      <c r="C101" s="150"/>
      <c r="D101" s="150"/>
      <c r="E101" s="150"/>
      <c r="F101" s="150"/>
      <c r="G101" s="150"/>
      <c r="H101" s="155"/>
    </row>
    <row r="102" customFormat="false" ht="12" hidden="false" customHeight="true" outlineLevel="0" collapsed="false">
      <c r="A102" s="422" t="s">
        <v>750</v>
      </c>
      <c r="B102" s="422" t="n">
        <v>2005</v>
      </c>
      <c r="C102" s="422" t="n">
        <v>2006</v>
      </c>
      <c r="D102" s="422" t="n">
        <v>2007</v>
      </c>
      <c r="E102" s="422" t="n">
        <v>2008</v>
      </c>
      <c r="F102" s="422" t="n">
        <v>2009</v>
      </c>
      <c r="G102" s="422" t="n">
        <v>2010</v>
      </c>
      <c r="H102" s="422" t="s">
        <v>582</v>
      </c>
    </row>
    <row r="103" customFormat="false" ht="12" hidden="false" customHeight="true" outlineLevel="0" collapsed="false">
      <c r="A103" s="423" t="s">
        <v>751</v>
      </c>
      <c r="B103" s="424" t="n">
        <f aca="false">(B92/1000)*B7</f>
        <v>705.0885618</v>
      </c>
      <c r="C103" s="424" t="n">
        <f aca="false">(C92/1000)*C7</f>
        <v>948.0498432</v>
      </c>
      <c r="D103" s="424" t="n">
        <f aca="false">(D92/1000)*D7</f>
        <v>701.5264914</v>
      </c>
      <c r="E103" s="424" t="n">
        <f aca="false">(E92/1000)*E7</f>
        <v>858.501248</v>
      </c>
      <c r="F103" s="424" t="n">
        <f aca="false">(F92/1000)*F7</f>
        <v>817.1061855</v>
      </c>
      <c r="G103" s="424" t="n">
        <f aca="false">(G92/1000)*G7</f>
        <v>689.9573373</v>
      </c>
      <c r="H103" s="425" t="n">
        <f aca="false">(F103-B103)/B103</f>
        <v>0.158870289164858</v>
      </c>
    </row>
    <row r="104" customFormat="false" ht="14.25" hidden="false" customHeight="true" outlineLevel="0" collapsed="false">
      <c r="A104" s="423" t="s">
        <v>745</v>
      </c>
      <c r="B104" s="443" t="n">
        <f aca="false">B93</f>
        <v>11037</v>
      </c>
      <c r="C104" s="443" t="n">
        <f aca="false">C93</f>
        <v>11594</v>
      </c>
      <c r="D104" s="443" t="n">
        <f aca="false">D93</f>
        <v>12091</v>
      </c>
      <c r="E104" s="443" t="n">
        <f aca="false">E93</f>
        <v>12406</v>
      </c>
      <c r="F104" s="443" t="n">
        <f aca="false">F93</f>
        <v>12789</v>
      </c>
      <c r="G104" s="443" t="n">
        <f aca="false">G93</f>
        <v>12731</v>
      </c>
      <c r="H104" s="425" t="n">
        <f aca="false">(F104-B104)/B104</f>
        <v>0.158738787714053</v>
      </c>
    </row>
    <row r="105" customFormat="false" ht="14.25" hidden="false" customHeight="true" outlineLevel="0" collapsed="false">
      <c r="A105" s="423" t="s">
        <v>746</v>
      </c>
      <c r="B105" s="424" t="n">
        <f aca="false">B94</f>
        <v>2781</v>
      </c>
      <c r="C105" s="424" t="n">
        <f aca="false">C94</f>
        <v>2781</v>
      </c>
      <c r="D105" s="424" t="n">
        <f aca="false">D94</f>
        <v>2781</v>
      </c>
      <c r="E105" s="424" t="n">
        <f aca="false">E94</f>
        <v>2781</v>
      </c>
      <c r="F105" s="424" t="n">
        <f aca="false">F94</f>
        <v>2781</v>
      </c>
      <c r="G105" s="424" t="n">
        <f aca="false">G94</f>
        <v>2781</v>
      </c>
      <c r="H105" s="425" t="n">
        <f aca="false">(F105-B105)/B105</f>
        <v>0</v>
      </c>
    </row>
    <row r="106" customFormat="false" ht="14.25" hidden="false" customHeight="true" outlineLevel="0" collapsed="false">
      <c r="A106" s="423" t="s">
        <v>752</v>
      </c>
      <c r="B106" s="424" t="n">
        <f aca="false">B103/B104</f>
        <v>0.0638840773579777</v>
      </c>
      <c r="C106" s="424" t="n">
        <f aca="false">C103/C104</f>
        <v>0.0817707299637744</v>
      </c>
      <c r="D106" s="424" t="n">
        <f aca="false">D103/D104</f>
        <v>0.0580205517657762</v>
      </c>
      <c r="E106" s="424" t="n">
        <f aca="false">E103/E104</f>
        <v>0.0692004875060455</v>
      </c>
      <c r="F106" s="424" t="n">
        <f aca="false">F103/F104</f>
        <v>0.0638913273516303</v>
      </c>
      <c r="G106" s="424" t="n">
        <f aca="false">G103/G104</f>
        <v>0.0541950622339172</v>
      </c>
      <c r="H106" s="425" t="n">
        <f aca="false">(F106-B106)/B106</f>
        <v>0.000113486708307078</v>
      </c>
    </row>
    <row r="107" customFormat="false" ht="24.75" hidden="false" customHeight="false" outlineLevel="0" collapsed="false">
      <c r="A107" s="423" t="s">
        <v>753</v>
      </c>
      <c r="B107" s="424" t="n">
        <f aca="false">B103/B105</f>
        <v>0.253537778425027</v>
      </c>
      <c r="C107" s="424" t="n">
        <f aca="false">C103/C105</f>
        <v>0.340902496655879</v>
      </c>
      <c r="D107" s="424" t="n">
        <f aca="false">D103/D105</f>
        <v>0.252256918878101</v>
      </c>
      <c r="E107" s="424" t="n">
        <f aca="false">E103/E105</f>
        <v>0.308702354548723</v>
      </c>
      <c r="F107" s="424" t="n">
        <f aca="false">F103/F105</f>
        <v>0.293817398597627</v>
      </c>
      <c r="G107" s="424" t="n">
        <f aca="false">G103/G105</f>
        <v>0.248096849083064</v>
      </c>
      <c r="H107" s="425" t="n">
        <f aca="false">(F107-B107)/B107</f>
        <v>0.158870289164858</v>
      </c>
    </row>
    <row r="108" customFormat="false" ht="12" hidden="false" customHeight="true" outlineLevel="0" collapsed="false">
      <c r="A108" s="444"/>
      <c r="B108" s="445"/>
      <c r="C108" s="445"/>
      <c r="D108" s="445"/>
      <c r="E108" s="445"/>
      <c r="F108" s="445"/>
      <c r="G108" s="445"/>
      <c r="H108" s="446"/>
    </row>
    <row r="109" customFormat="false" ht="12" hidden="false" customHeight="true" outlineLevel="0" collapsed="false">
      <c r="A109" s="150"/>
      <c r="B109" s="150"/>
      <c r="C109" s="150"/>
      <c r="D109" s="150"/>
      <c r="E109" s="150"/>
      <c r="F109" s="150"/>
      <c r="G109" s="150"/>
      <c r="H109" s="155"/>
    </row>
    <row r="110" customFormat="false" ht="12" hidden="false" customHeight="true" outlineLevel="0" collapsed="false">
      <c r="A110" s="150"/>
      <c r="B110" s="150"/>
      <c r="C110" s="150"/>
      <c r="D110" s="150"/>
      <c r="E110" s="150"/>
      <c r="F110" s="150"/>
      <c r="G110" s="150"/>
      <c r="H110" s="155"/>
      <c r="J110" s="417" t="s">
        <v>754</v>
      </c>
    </row>
    <row r="111" customFormat="false" ht="12" hidden="false" customHeight="true" outlineLevel="0" collapsed="false">
      <c r="A111" s="442" t="s">
        <v>755</v>
      </c>
      <c r="B111" s="150"/>
      <c r="C111" s="150"/>
      <c r="D111" s="150"/>
      <c r="E111" s="150"/>
      <c r="F111" s="150"/>
      <c r="G111" s="150"/>
      <c r="H111" s="155"/>
    </row>
    <row r="112" customFormat="false" ht="12" hidden="false" customHeight="true" outlineLevel="0" collapsed="false">
      <c r="A112" s="150"/>
      <c r="B112" s="150"/>
      <c r="C112" s="150"/>
      <c r="D112" s="150"/>
      <c r="E112" s="150"/>
      <c r="F112" s="150"/>
      <c r="G112" s="150"/>
      <c r="H112" s="155"/>
      <c r="P112" s="417" t="s">
        <v>756</v>
      </c>
    </row>
    <row r="113" customFormat="false" ht="12" hidden="false" customHeight="true" outlineLevel="0" collapsed="false">
      <c r="A113" s="422"/>
      <c r="B113" s="422" t="n">
        <v>2005</v>
      </c>
      <c r="C113" s="422" t="n">
        <v>2006</v>
      </c>
      <c r="D113" s="422" t="n">
        <v>2007</v>
      </c>
      <c r="E113" s="422" t="n">
        <v>2008</v>
      </c>
      <c r="F113" s="422" t="n">
        <v>2009</v>
      </c>
      <c r="G113" s="422" t="n">
        <v>2010</v>
      </c>
      <c r="H113" s="422" t="s">
        <v>582</v>
      </c>
    </row>
    <row r="114" customFormat="false" ht="12" hidden="false" customHeight="true" outlineLevel="0" collapsed="false">
      <c r="A114" s="449" t="str">
        <f aca="false">'9.ENLLUME i SEMÀFORS'!A152</f>
        <v>Peatons</v>
      </c>
      <c r="B114" s="424" t="n">
        <f aca="false">'9.ENLLUME i SEMÀFORS'!$E$152/1000</f>
        <v>3.504</v>
      </c>
      <c r="C114" s="424" t="n">
        <f aca="false">'9.ENLLUME i SEMÀFORS'!$E$152/1000</f>
        <v>3.504</v>
      </c>
      <c r="D114" s="424" t="n">
        <f aca="false">'9.ENLLUME i SEMÀFORS'!$E$152/1000</f>
        <v>3.504</v>
      </c>
      <c r="E114" s="424" t="n">
        <f aca="false">'9.ENLLUME i SEMÀFORS'!$E$152/1000</f>
        <v>3.504</v>
      </c>
      <c r="F114" s="424" t="n">
        <f aca="false">'9.ENLLUME i SEMÀFORS'!$E$152/1000</f>
        <v>3.504</v>
      </c>
      <c r="G114" s="424" t="n">
        <f aca="false">'9.ENLLUME i SEMÀFORS'!$E$152/1000</f>
        <v>3.504</v>
      </c>
      <c r="H114" s="425" t="n">
        <f aca="false">(F114-B114)/B114</f>
        <v>0</v>
      </c>
    </row>
    <row r="115" customFormat="false" ht="12" hidden="false" customHeight="true" outlineLevel="0" collapsed="false">
      <c r="A115" s="449" t="str">
        <f aca="false">'9.ENLLUME i SEMÀFORS'!A153</f>
        <v>Vehicles</v>
      </c>
      <c r="B115" s="424" t="n">
        <f aca="false">'9.ENLLUME i SEMÀFORS'!$E$153/1000</f>
        <v>3.504</v>
      </c>
      <c r="C115" s="424" t="n">
        <f aca="false">'9.ENLLUME i SEMÀFORS'!$E$153/1000</f>
        <v>3.504</v>
      </c>
      <c r="D115" s="424" t="n">
        <f aca="false">'9.ENLLUME i SEMÀFORS'!$E$153/1000</f>
        <v>3.504</v>
      </c>
      <c r="E115" s="424" t="n">
        <f aca="false">'9.ENLLUME i SEMÀFORS'!$E$153/1000</f>
        <v>3.504</v>
      </c>
      <c r="F115" s="424" t="n">
        <f aca="false">'9.ENLLUME i SEMÀFORS'!$E$153/1000</f>
        <v>3.504</v>
      </c>
      <c r="G115" s="424" t="n">
        <f aca="false">'9.ENLLUME i SEMÀFORS'!$E$153/1000</f>
        <v>3.504</v>
      </c>
      <c r="H115" s="425" t="n">
        <f aca="false">(F115-B115)/B115</f>
        <v>0</v>
      </c>
    </row>
    <row r="116" customFormat="false" ht="12" hidden="false" customHeight="true" outlineLevel="0" collapsed="false">
      <c r="A116" s="449" t="str">
        <f aca="false">'9.ENLLUME i SEMÀFORS'!A154</f>
        <v>Senyalització</v>
      </c>
      <c r="B116" s="424" t="n">
        <f aca="false">'9.ENLLUME i SEMÀFORS'!$E$154/1000</f>
        <v>0</v>
      </c>
      <c r="C116" s="424" t="n">
        <f aca="false">'9.ENLLUME i SEMÀFORS'!$E$154/1000</f>
        <v>0</v>
      </c>
      <c r="D116" s="424" t="n">
        <f aca="false">'9.ENLLUME i SEMÀFORS'!$E$154/1000</f>
        <v>0</v>
      </c>
      <c r="E116" s="424" t="n">
        <f aca="false">'9.ENLLUME i SEMÀFORS'!$E$154/1000</f>
        <v>0</v>
      </c>
      <c r="F116" s="424" t="n">
        <f aca="false">'9.ENLLUME i SEMÀFORS'!$E$154/1000</f>
        <v>0</v>
      </c>
      <c r="G116" s="424" t="n">
        <f aca="false">'9.ENLLUME i SEMÀFORS'!$E$154/1000</f>
        <v>0</v>
      </c>
      <c r="H116" s="425" t="n">
        <v>0</v>
      </c>
    </row>
    <row r="117" customFormat="false" ht="12" hidden="false" customHeight="true" outlineLevel="0" collapsed="false">
      <c r="A117" s="428" t="s">
        <v>272</v>
      </c>
      <c r="B117" s="429" t="n">
        <f aca="false">+B114+B116+B115</f>
        <v>7.008</v>
      </c>
      <c r="C117" s="429" t="n">
        <f aca="false">+C114+C116+C115</f>
        <v>7.008</v>
      </c>
      <c r="D117" s="429" t="n">
        <f aca="false">+D114+D116+D115</f>
        <v>7.008</v>
      </c>
      <c r="E117" s="429" t="n">
        <f aca="false">+E114+E116+E115</f>
        <v>7.008</v>
      </c>
      <c r="F117" s="429" t="n">
        <f aca="false">+F114+F116+F115</f>
        <v>7.008</v>
      </c>
      <c r="G117" s="429" t="n">
        <f aca="false">+G114+G116+G115</f>
        <v>7.008</v>
      </c>
      <c r="H117" s="425" t="n">
        <f aca="false">(F117-B117)/B117</f>
        <v>0</v>
      </c>
    </row>
    <row r="118" customFormat="false" ht="12" hidden="false" customHeight="true" outlineLevel="0" collapsed="false">
      <c r="A118" s="150"/>
      <c r="B118" s="150"/>
      <c r="C118" s="150"/>
      <c r="D118" s="150"/>
      <c r="E118" s="150"/>
      <c r="F118" s="150"/>
      <c r="G118" s="150"/>
      <c r="H118" s="155"/>
    </row>
    <row r="119" customFormat="false" ht="12" hidden="false" customHeight="true" outlineLevel="0" collapsed="false">
      <c r="A119" s="150"/>
      <c r="B119" s="150"/>
      <c r="C119" s="150"/>
      <c r="D119" s="150"/>
      <c r="E119" s="150"/>
      <c r="F119" s="150"/>
      <c r="G119" s="150"/>
      <c r="H119" s="155"/>
    </row>
    <row r="120" customFormat="false" ht="12" hidden="false" customHeight="true" outlineLevel="0" collapsed="false">
      <c r="A120" s="150"/>
      <c r="B120" s="150"/>
      <c r="C120" s="150"/>
      <c r="D120" s="150"/>
      <c r="E120" s="150"/>
      <c r="F120" s="150"/>
      <c r="G120" s="150"/>
      <c r="H120" s="155"/>
    </row>
    <row r="121" customFormat="false" ht="12" hidden="false" customHeight="true" outlineLevel="0" collapsed="false">
      <c r="A121" s="150"/>
      <c r="B121" s="150"/>
      <c r="C121" s="150"/>
      <c r="D121" s="150"/>
      <c r="E121" s="150"/>
      <c r="F121" s="150"/>
      <c r="G121" s="150"/>
      <c r="H121" s="155"/>
    </row>
    <row r="122" customFormat="false" ht="12" hidden="false" customHeight="true" outlineLevel="0" collapsed="false">
      <c r="A122" s="150"/>
      <c r="B122" s="150"/>
      <c r="C122" s="150"/>
      <c r="D122" s="150"/>
      <c r="E122" s="150"/>
      <c r="F122" s="150"/>
      <c r="G122" s="150"/>
      <c r="H122" s="155"/>
    </row>
    <row r="123" customFormat="false" ht="12" hidden="false" customHeight="true" outlineLevel="0" collapsed="false">
      <c r="A123" s="150"/>
      <c r="B123" s="150"/>
      <c r="C123" s="150"/>
      <c r="D123" s="150"/>
      <c r="E123" s="150"/>
      <c r="F123" s="150"/>
      <c r="G123" s="150"/>
      <c r="H123" s="155"/>
    </row>
    <row r="124" customFormat="false" ht="12" hidden="false" customHeight="true" outlineLevel="0" collapsed="false">
      <c r="A124" s="150"/>
      <c r="B124" s="150"/>
      <c r="C124" s="150"/>
      <c r="D124" s="150"/>
      <c r="E124" s="150"/>
      <c r="F124" s="150"/>
      <c r="G124" s="150"/>
      <c r="H124" s="155"/>
    </row>
    <row r="125" customFormat="false" ht="12" hidden="false" customHeight="true" outlineLevel="0" collapsed="false">
      <c r="A125" s="150"/>
      <c r="B125" s="150"/>
      <c r="C125" s="150"/>
      <c r="D125" s="150"/>
      <c r="E125" s="150"/>
      <c r="F125" s="150"/>
      <c r="G125" s="150"/>
      <c r="H125" s="155"/>
    </row>
    <row r="126" customFormat="false" ht="12" hidden="false" customHeight="true" outlineLevel="0" collapsed="false">
      <c r="A126" s="150"/>
      <c r="B126" s="150"/>
      <c r="C126" s="150"/>
      <c r="D126" s="150"/>
      <c r="E126" s="150"/>
      <c r="F126" s="150"/>
      <c r="G126" s="150"/>
      <c r="H126" s="155"/>
    </row>
    <row r="127" customFormat="false" ht="12" hidden="false" customHeight="true" outlineLevel="0" collapsed="false">
      <c r="A127" s="150"/>
      <c r="B127" s="150"/>
      <c r="C127" s="150"/>
      <c r="D127" s="150"/>
      <c r="E127" s="150"/>
      <c r="F127" s="150"/>
      <c r="G127" s="150"/>
      <c r="H127" s="155"/>
    </row>
    <row r="128" customFormat="false" ht="12" hidden="false" customHeight="true" outlineLevel="0" collapsed="false">
      <c r="A128" s="150"/>
      <c r="B128" s="150"/>
      <c r="C128" s="150"/>
      <c r="D128" s="150"/>
      <c r="E128" s="150"/>
      <c r="F128" s="150"/>
      <c r="G128" s="150"/>
      <c r="H128" s="155"/>
    </row>
    <row r="129" customFormat="false" ht="12" hidden="false" customHeight="true" outlineLevel="0" collapsed="false">
      <c r="A129" s="150"/>
      <c r="B129" s="150"/>
      <c r="C129" s="150"/>
      <c r="D129" s="150"/>
      <c r="E129" s="150"/>
      <c r="F129" s="150"/>
      <c r="G129" s="150"/>
      <c r="H129" s="155"/>
    </row>
    <row r="130" customFormat="false" ht="12" hidden="false" customHeight="true" outlineLevel="0" collapsed="false">
      <c r="A130" s="442" t="s">
        <v>757</v>
      </c>
      <c r="B130" s="150"/>
      <c r="C130" s="150"/>
      <c r="D130" s="150"/>
      <c r="E130" s="150"/>
      <c r="F130" s="150"/>
      <c r="G130" s="150"/>
      <c r="H130" s="155"/>
    </row>
    <row r="131" customFormat="false" ht="12" hidden="false" customHeight="true" outlineLevel="0" collapsed="false">
      <c r="A131" s="150"/>
      <c r="B131" s="150"/>
      <c r="C131" s="150"/>
      <c r="D131" s="150"/>
      <c r="E131" s="150"/>
      <c r="F131" s="150"/>
      <c r="G131" s="150"/>
      <c r="H131" s="155"/>
      <c r="J131" s="417" t="s">
        <v>758</v>
      </c>
    </row>
    <row r="132" customFormat="false" ht="12" hidden="false" customHeight="true" outlineLevel="0" collapsed="false">
      <c r="A132" s="422"/>
      <c r="B132" s="422" t="n">
        <v>2005</v>
      </c>
      <c r="C132" s="422" t="n">
        <v>2006</v>
      </c>
      <c r="D132" s="422" t="n">
        <v>2007</v>
      </c>
      <c r="E132" s="422" t="n">
        <v>2008</v>
      </c>
      <c r="F132" s="422" t="n">
        <v>2009</v>
      </c>
      <c r="G132" s="422" t="n">
        <v>2010</v>
      </c>
      <c r="H132" s="422" t="s">
        <v>582</v>
      </c>
    </row>
    <row r="133" customFormat="false" ht="12" hidden="false" customHeight="true" outlineLevel="0" collapsed="false">
      <c r="A133" s="449" t="str">
        <f aca="false">'9.ENLLUME i SEMÀFORS'!A152</f>
        <v>Peatons</v>
      </c>
      <c r="B133" s="424" t="n">
        <f aca="false">B114*B7</f>
        <v>2.9566752</v>
      </c>
      <c r="C133" s="424" t="n">
        <f aca="false">C114*C7</f>
        <v>3.1830336</v>
      </c>
      <c r="D133" s="424" t="n">
        <f aca="false">D114*D7</f>
        <v>2.8771344</v>
      </c>
      <c r="E133" s="424" t="n">
        <f aca="false">E114*E7</f>
        <v>2.8985088</v>
      </c>
      <c r="F133" s="424" t="n">
        <f aca="false">F114*F7</f>
        <v>2.9717424</v>
      </c>
      <c r="G133" s="424" t="n">
        <f aca="false">G114*G7</f>
        <v>2.9717424</v>
      </c>
      <c r="H133" s="425" t="n">
        <f aca="false">(F133-B133)/B133</f>
        <v>0.00509599431144816</v>
      </c>
    </row>
    <row r="134" customFormat="false" ht="12" hidden="false" customHeight="true" outlineLevel="0" collapsed="false">
      <c r="A134" s="449" t="str">
        <f aca="false">'9.ENLLUME i SEMÀFORS'!A153</f>
        <v>Vehicles</v>
      </c>
      <c r="B134" s="424" t="n">
        <f aca="false">B115*B7</f>
        <v>2.9566752</v>
      </c>
      <c r="C134" s="424" t="n">
        <f aca="false">C115*C7</f>
        <v>3.1830336</v>
      </c>
      <c r="D134" s="424" t="n">
        <f aca="false">D115*D7</f>
        <v>2.8771344</v>
      </c>
      <c r="E134" s="424" t="n">
        <f aca="false">E115*E7</f>
        <v>2.8985088</v>
      </c>
      <c r="F134" s="424" t="n">
        <f aca="false">F115*F7</f>
        <v>2.9717424</v>
      </c>
      <c r="G134" s="424" t="n">
        <f aca="false">G115*G7</f>
        <v>2.9717424</v>
      </c>
      <c r="H134" s="425" t="n">
        <f aca="false">(F134-B134)/B134</f>
        <v>0.00509599431144816</v>
      </c>
      <c r="P134" s="417" t="s">
        <v>759</v>
      </c>
    </row>
    <row r="135" customFormat="false" ht="12" hidden="false" customHeight="true" outlineLevel="0" collapsed="false">
      <c r="A135" s="449" t="str">
        <f aca="false">'9.ENLLUME i SEMÀFORS'!A154</f>
        <v>Senyalització</v>
      </c>
      <c r="B135" s="424" t="n">
        <f aca="false">B116*B7</f>
        <v>0</v>
      </c>
      <c r="C135" s="424" t="n">
        <f aca="false">C116*C7</f>
        <v>0</v>
      </c>
      <c r="D135" s="424" t="n">
        <f aca="false">D116*D7</f>
        <v>0</v>
      </c>
      <c r="E135" s="424" t="n">
        <f aca="false">E116*E7</f>
        <v>0</v>
      </c>
      <c r="F135" s="424" t="n">
        <f aca="false">F116*F7</f>
        <v>0</v>
      </c>
      <c r="G135" s="424" t="n">
        <f aca="false">G116*G7</f>
        <v>0</v>
      </c>
      <c r="H135" s="425" t="n">
        <v>0</v>
      </c>
    </row>
    <row r="136" s="407" customFormat="true" ht="12" hidden="false" customHeight="true" outlineLevel="0" collapsed="false">
      <c r="A136" s="428" t="s">
        <v>272</v>
      </c>
      <c r="B136" s="429" t="n">
        <f aca="false">+B133+B135+B134</f>
        <v>5.9133504</v>
      </c>
      <c r="C136" s="429" t="n">
        <f aca="false">+C133+C135+C134</f>
        <v>6.3660672</v>
      </c>
      <c r="D136" s="429" t="n">
        <f aca="false">+D133+D135+D134</f>
        <v>5.7542688</v>
      </c>
      <c r="E136" s="429" t="n">
        <f aca="false">+E133+E135+E134</f>
        <v>5.7970176</v>
      </c>
      <c r="F136" s="429" t="n">
        <f aca="false">+F133+F135+F134</f>
        <v>5.9434848</v>
      </c>
      <c r="G136" s="429" t="n">
        <f aca="false">+G133+G135+G134</f>
        <v>5.9434848</v>
      </c>
      <c r="H136" s="425" t="n">
        <f aca="false">(F136-B136)/B136</f>
        <v>0.00509599431144816</v>
      </c>
    </row>
    <row r="137" s="407" customFormat="true" ht="12" hidden="false" customHeight="true" outlineLevel="0" collapsed="false">
      <c r="A137" s="435"/>
      <c r="B137" s="439"/>
      <c r="C137" s="439"/>
      <c r="D137" s="439"/>
      <c r="E137" s="439"/>
      <c r="F137" s="439"/>
      <c r="G137" s="439"/>
      <c r="H137" s="440"/>
    </row>
    <row r="138" s="407" customFormat="true" ht="12" hidden="false" customHeight="true" outlineLevel="0" collapsed="false">
      <c r="A138" s="435"/>
      <c r="B138" s="439"/>
      <c r="C138" s="439"/>
      <c r="D138" s="439"/>
      <c r="E138" s="439"/>
      <c r="F138" s="439"/>
      <c r="G138" s="439"/>
      <c r="H138" s="440"/>
    </row>
    <row r="139" s="407" customFormat="true" ht="12" hidden="false" customHeight="true" outlineLevel="0" collapsed="false">
      <c r="A139" s="435"/>
      <c r="B139" s="439"/>
      <c r="C139" s="439"/>
      <c r="D139" s="439"/>
      <c r="E139" s="439"/>
      <c r="F139" s="439"/>
      <c r="G139" s="439"/>
      <c r="H139" s="440"/>
    </row>
    <row r="140" s="407" customFormat="true" ht="12" hidden="false" customHeight="true" outlineLevel="0" collapsed="false">
      <c r="A140" s="435"/>
      <c r="B140" s="439"/>
      <c r="C140" s="439"/>
      <c r="D140" s="439"/>
      <c r="E140" s="439"/>
      <c r="F140" s="439"/>
      <c r="G140" s="439"/>
      <c r="H140" s="440"/>
    </row>
    <row r="141" s="407" customFormat="true" ht="12" hidden="false" customHeight="true" outlineLevel="0" collapsed="false">
      <c r="A141" s="435"/>
      <c r="B141" s="439"/>
      <c r="C141" s="439"/>
      <c r="D141" s="439"/>
      <c r="E141" s="439"/>
      <c r="F141" s="439"/>
      <c r="G141" s="439"/>
      <c r="H141" s="440"/>
    </row>
    <row r="142" s="407" customFormat="true" ht="12" hidden="false" customHeight="true" outlineLevel="0" collapsed="false">
      <c r="A142" s="435"/>
      <c r="B142" s="439"/>
      <c r="C142" s="439"/>
      <c r="D142" s="439"/>
      <c r="E142" s="439"/>
      <c r="F142" s="439"/>
      <c r="G142" s="439"/>
      <c r="H142" s="440"/>
    </row>
    <row r="143" s="407" customFormat="true" ht="12" hidden="false" customHeight="true" outlineLevel="0" collapsed="false">
      <c r="A143" s="435"/>
      <c r="B143" s="439"/>
      <c r="C143" s="439"/>
      <c r="D143" s="439"/>
      <c r="E143" s="439"/>
      <c r="F143" s="439"/>
      <c r="G143" s="439"/>
      <c r="H143" s="440"/>
    </row>
    <row r="144" s="407" customFormat="true" ht="12" hidden="false" customHeight="true" outlineLevel="0" collapsed="false">
      <c r="A144" s="435"/>
      <c r="B144" s="439"/>
      <c r="C144" s="439"/>
      <c r="D144" s="439"/>
      <c r="E144" s="439"/>
      <c r="F144" s="439"/>
      <c r="G144" s="439"/>
      <c r="H144" s="440"/>
    </row>
    <row r="145" s="407" customFormat="true" ht="12" hidden="false" customHeight="true" outlineLevel="0" collapsed="false">
      <c r="A145" s="435"/>
      <c r="B145" s="439"/>
      <c r="C145" s="439"/>
      <c r="D145" s="439"/>
      <c r="E145" s="439"/>
      <c r="F145" s="439"/>
      <c r="G145" s="439"/>
      <c r="H145" s="440"/>
    </row>
    <row r="146" s="407" customFormat="true" ht="12" hidden="false" customHeight="true" outlineLevel="0" collapsed="false">
      <c r="A146" s="435"/>
      <c r="B146" s="439"/>
      <c r="C146" s="439"/>
      <c r="D146" s="439"/>
      <c r="E146" s="439"/>
      <c r="F146" s="439"/>
      <c r="G146" s="439"/>
      <c r="H146" s="440"/>
    </row>
    <row r="147" s="407" customFormat="true" ht="12" hidden="false" customHeight="true" outlineLevel="0" collapsed="false">
      <c r="A147" s="435"/>
      <c r="B147" s="439"/>
      <c r="C147" s="439"/>
      <c r="D147" s="439"/>
      <c r="E147" s="439"/>
      <c r="F147" s="439"/>
      <c r="G147" s="439"/>
      <c r="H147" s="440"/>
    </row>
    <row r="148" s="407" customFormat="true" ht="12" hidden="false" customHeight="true" outlineLevel="0" collapsed="false">
      <c r="A148" s="435"/>
      <c r="B148" s="439"/>
      <c r="C148" s="439"/>
      <c r="D148" s="439"/>
      <c r="E148" s="439"/>
      <c r="F148" s="439"/>
      <c r="G148" s="439"/>
      <c r="H148" s="440"/>
    </row>
    <row r="149" s="407" customFormat="true" ht="12" hidden="false" customHeight="true" outlineLevel="0" collapsed="false">
      <c r="A149" s="435"/>
      <c r="B149" s="439"/>
      <c r="C149" s="439"/>
      <c r="D149" s="439"/>
      <c r="E149" s="439"/>
      <c r="F149" s="439"/>
      <c r="G149" s="439"/>
      <c r="H149" s="440"/>
    </row>
    <row r="150" s="407" customFormat="true" ht="12" hidden="false" customHeight="true" outlineLevel="0" collapsed="false">
      <c r="A150" s="435"/>
      <c r="B150" s="439"/>
      <c r="C150" s="439"/>
      <c r="D150" s="439"/>
      <c r="E150" s="439"/>
      <c r="F150" s="439"/>
      <c r="G150" s="439"/>
      <c r="H150" s="440"/>
    </row>
    <row r="151" s="407" customFormat="true" ht="12" hidden="false" customHeight="true" outlineLevel="0" collapsed="false">
      <c r="A151" s="435"/>
      <c r="B151" s="439"/>
      <c r="C151" s="439"/>
      <c r="D151" s="439"/>
      <c r="E151" s="439"/>
      <c r="F151" s="439"/>
      <c r="G151" s="439"/>
      <c r="H151" s="440"/>
    </row>
    <row r="152" s="407" customFormat="true" ht="12" hidden="false" customHeight="true" outlineLevel="0" collapsed="false">
      <c r="A152" s="435"/>
      <c r="B152" s="439"/>
      <c r="C152" s="439"/>
      <c r="D152" s="439"/>
      <c r="E152" s="439"/>
      <c r="F152" s="439"/>
      <c r="G152" s="439"/>
      <c r="H152" s="440"/>
      <c r="J152" s="417" t="s">
        <v>760</v>
      </c>
      <c r="P152" s="417" t="s">
        <v>761</v>
      </c>
    </row>
    <row r="153" s="407" customFormat="true" ht="12" hidden="false" customHeight="true" outlineLevel="0" collapsed="false">
      <c r="A153" s="435"/>
      <c r="B153" s="439"/>
      <c r="C153" s="439"/>
      <c r="D153" s="439"/>
      <c r="E153" s="439"/>
      <c r="F153" s="439"/>
      <c r="G153" s="439"/>
      <c r="H153" s="440"/>
      <c r="P153" s="408"/>
    </row>
    <row r="154" s="407" customFormat="true" ht="12" hidden="false" customHeight="true" outlineLevel="0" collapsed="false">
      <c r="A154" s="421" t="s">
        <v>762</v>
      </c>
      <c r="B154" s="439"/>
      <c r="C154" s="439"/>
      <c r="D154" s="439"/>
      <c r="E154" s="439"/>
      <c r="F154" s="439"/>
      <c r="G154" s="439"/>
      <c r="H154" s="440"/>
      <c r="P154" s="408"/>
    </row>
    <row r="155" s="407" customFormat="true" ht="12" hidden="false" customHeight="true" outlineLevel="0" collapsed="false">
      <c r="A155" s="435"/>
      <c r="B155" s="439"/>
      <c r="C155" s="439"/>
      <c r="D155" s="439"/>
      <c r="E155" s="439"/>
      <c r="F155" s="439"/>
      <c r="G155" s="439"/>
      <c r="H155" s="440"/>
      <c r="P155" s="408"/>
    </row>
    <row r="156" s="407" customFormat="true" ht="12" hidden="false" customHeight="true" outlineLevel="0" collapsed="false">
      <c r="A156" s="422" t="s">
        <v>735</v>
      </c>
      <c r="B156" s="422" t="n">
        <v>2005</v>
      </c>
      <c r="C156" s="422" t="n">
        <v>2006</v>
      </c>
      <c r="D156" s="422" t="n">
        <v>2007</v>
      </c>
      <c r="E156" s="422" t="n">
        <v>2008</v>
      </c>
      <c r="F156" s="422" t="n">
        <v>2009</v>
      </c>
      <c r="G156" s="422" t="n">
        <v>2010</v>
      </c>
      <c r="H156" s="422" t="s">
        <v>582</v>
      </c>
      <c r="P156" s="408"/>
    </row>
    <row r="157" s="407" customFormat="true" ht="12" hidden="false" customHeight="true" outlineLevel="0" collapsed="false">
      <c r="A157" s="423" t="s">
        <v>588</v>
      </c>
      <c r="B157" s="424" t="n">
        <f aca="false">'8.EQUIPAM'!H85/1000</f>
        <v>1547.388</v>
      </c>
      <c r="C157" s="424" t="n">
        <f aca="false">'8.EQUIPAM'!I85/1000</f>
        <v>1434.056</v>
      </c>
      <c r="D157" s="424" t="n">
        <f aca="false">'8.EQUIPAM'!J85/1000</f>
        <v>1483.381</v>
      </c>
      <c r="E157" s="424" t="n">
        <f aca="false">'8.EQUIPAM'!K85/1000</f>
        <v>1473.887</v>
      </c>
      <c r="F157" s="424" t="n">
        <f aca="false">'8.EQUIPAM'!L85/1000</f>
        <v>1419.496</v>
      </c>
      <c r="G157" s="424" t="n">
        <f aca="false">'8.EQUIPAM'!M85/1000</f>
        <v>1350.941</v>
      </c>
      <c r="H157" s="425" t="n">
        <f aca="false">(F157-B157)/B157</f>
        <v>-0.0826502467383745</v>
      </c>
      <c r="P157" s="408"/>
    </row>
    <row r="158" s="407" customFormat="true" ht="12" hidden="false" customHeight="true" outlineLevel="0" collapsed="false">
      <c r="A158" s="423" t="s">
        <v>51</v>
      </c>
      <c r="B158" s="424" t="n">
        <f aca="false">'8.EQUIPAM'!H115/1000</f>
        <v>0</v>
      </c>
      <c r="C158" s="424" t="n">
        <f aca="false">'8.EQUIPAM'!I115/1000</f>
        <v>0</v>
      </c>
      <c r="D158" s="424" t="n">
        <f aca="false">'8.EQUIPAM'!J115/1000</f>
        <v>0</v>
      </c>
      <c r="E158" s="424" t="n">
        <f aca="false">'8.EQUIPAM'!K115/1000</f>
        <v>0</v>
      </c>
      <c r="F158" s="424" t="n">
        <f aca="false">'8.EQUIPAM'!L115/1000</f>
        <v>0</v>
      </c>
      <c r="G158" s="424" t="n">
        <f aca="false">'8.EQUIPAM'!M115/1000</f>
        <v>0</v>
      </c>
      <c r="H158" s="425" t="n">
        <v>0</v>
      </c>
      <c r="P158" s="408"/>
    </row>
    <row r="159" s="407" customFormat="true" ht="12" hidden="false" customHeight="true" outlineLevel="0" collapsed="false">
      <c r="A159" s="423" t="s">
        <v>53</v>
      </c>
      <c r="B159" s="424" t="n">
        <f aca="false">'8.EQUIPAM'!H237/1000</f>
        <v>172.469534883721</v>
      </c>
      <c r="C159" s="424" t="n">
        <f aca="false">'8.EQUIPAM'!I237/1000</f>
        <v>172.469534883721</v>
      </c>
      <c r="D159" s="424" t="n">
        <f aca="false">'8.EQUIPAM'!J237/1000</f>
        <v>172.469534883721</v>
      </c>
      <c r="E159" s="424" t="n">
        <f aca="false">'8.EQUIPAM'!K237/1000</f>
        <v>172.469534883721</v>
      </c>
      <c r="F159" s="424" t="n">
        <f aca="false">'8.EQUIPAM'!L237/1000</f>
        <v>172.469534883721</v>
      </c>
      <c r="G159" s="424" t="n">
        <f aca="false">'8.EQUIPAM'!M237/1000</f>
        <v>172.469534883721</v>
      </c>
      <c r="H159" s="425" t="n">
        <f aca="false">(F159-B159)/B159</f>
        <v>0</v>
      </c>
      <c r="P159" s="408"/>
    </row>
    <row r="160" s="407" customFormat="true" ht="12" hidden="false" customHeight="true" outlineLevel="0" collapsed="false">
      <c r="A160" s="423" t="s">
        <v>117</v>
      </c>
      <c r="B160" s="424" t="n">
        <f aca="false">'8.EQUIPAM'!H176/1000</f>
        <v>688.6972</v>
      </c>
      <c r="C160" s="424" t="n">
        <f aca="false">'8.EQUIPAM'!I176/1000</f>
        <v>688.6972</v>
      </c>
      <c r="D160" s="424" t="n">
        <f aca="false">'8.EQUIPAM'!J176/1000</f>
        <v>688.6972</v>
      </c>
      <c r="E160" s="424" t="n">
        <f aca="false">'8.EQUIPAM'!K176/1000</f>
        <v>688.6972</v>
      </c>
      <c r="F160" s="424" t="n">
        <f aca="false">'8.EQUIPAM'!L176/1000</f>
        <v>688.6972</v>
      </c>
      <c r="G160" s="424" t="n">
        <f aca="false">'8.EQUIPAM'!M176/1000</f>
        <v>688.6972</v>
      </c>
      <c r="H160" s="425" t="n">
        <f aca="false">(F160-B160)/B160</f>
        <v>0</v>
      </c>
      <c r="P160" s="408"/>
    </row>
    <row r="161" s="407" customFormat="true" ht="12" hidden="false" customHeight="true" outlineLevel="0" collapsed="false">
      <c r="A161" s="423" t="s">
        <v>118</v>
      </c>
      <c r="B161" s="427" t="n">
        <v>0</v>
      </c>
      <c r="C161" s="427" t="n">
        <v>0</v>
      </c>
      <c r="D161" s="427" t="n">
        <v>0</v>
      </c>
      <c r="E161" s="427" t="n">
        <v>0</v>
      </c>
      <c r="F161" s="427" t="n">
        <v>0</v>
      </c>
      <c r="G161" s="427" t="n">
        <v>0</v>
      </c>
      <c r="H161" s="425" t="n">
        <v>0</v>
      </c>
      <c r="P161" s="408"/>
    </row>
    <row r="162" s="407" customFormat="true" ht="12" hidden="false" customHeight="true" outlineLevel="0" collapsed="false">
      <c r="A162" s="423" t="s">
        <v>119</v>
      </c>
      <c r="B162" s="427" t="n">
        <v>0</v>
      </c>
      <c r="C162" s="427" t="n">
        <v>0</v>
      </c>
      <c r="D162" s="427" t="n">
        <v>0</v>
      </c>
      <c r="E162" s="427" t="n">
        <v>0</v>
      </c>
      <c r="F162" s="427" t="n">
        <v>0</v>
      </c>
      <c r="G162" s="427" t="n">
        <v>0</v>
      </c>
      <c r="H162" s="425" t="n">
        <v>0</v>
      </c>
      <c r="P162" s="408"/>
    </row>
    <row r="163" s="407" customFormat="true" ht="12" hidden="false" customHeight="true" outlineLevel="0" collapsed="false">
      <c r="A163" s="428" t="s">
        <v>272</v>
      </c>
      <c r="B163" s="429" t="n">
        <f aca="false">+B157+B158+B159+B160+B161+B162</f>
        <v>2408.55473488372</v>
      </c>
      <c r="C163" s="429" t="n">
        <f aca="false">+C157+C158+C159+C160+C161+C162</f>
        <v>2295.22273488372</v>
      </c>
      <c r="D163" s="429" t="n">
        <f aca="false">+D157+D158+D159+D160+D161+D162</f>
        <v>2344.54773488372</v>
      </c>
      <c r="E163" s="429" t="n">
        <f aca="false">+E157+E158+E159+E160+E161+E162</f>
        <v>2335.05373488372</v>
      </c>
      <c r="F163" s="429" t="n">
        <f aca="false">+F157+F158+F159+F160+F161+F162</f>
        <v>2280.66273488372</v>
      </c>
      <c r="G163" s="429" t="n">
        <f aca="false">+G157+G158+G159+G160+G161+G162</f>
        <v>2212.10773488372</v>
      </c>
      <c r="H163" s="425" t="n">
        <f aca="false">(F163-B163)/B163</f>
        <v>-0.0530990631633597</v>
      </c>
      <c r="P163" s="408"/>
    </row>
    <row r="164" s="407" customFormat="true" ht="12" hidden="false" customHeight="true" outlineLevel="0" collapsed="false">
      <c r="A164" s="435"/>
      <c r="B164" s="439"/>
      <c r="C164" s="439"/>
      <c r="D164" s="439"/>
      <c r="E164" s="439"/>
      <c r="F164" s="439"/>
      <c r="G164" s="439"/>
      <c r="H164" s="440"/>
      <c r="P164" s="408"/>
    </row>
    <row r="165" s="407" customFormat="true" ht="12" hidden="false" customHeight="true" outlineLevel="0" collapsed="false">
      <c r="A165" s="435"/>
      <c r="B165" s="439"/>
      <c r="C165" s="439"/>
      <c r="D165" s="439"/>
      <c r="E165" s="439"/>
      <c r="F165" s="439"/>
      <c r="G165" s="439"/>
      <c r="H165" s="440"/>
      <c r="P165" s="408"/>
    </row>
    <row r="166" s="407" customFormat="true" ht="12" hidden="false" customHeight="true" outlineLevel="0" collapsed="false">
      <c r="A166" s="435"/>
      <c r="B166" s="439"/>
      <c r="C166" s="439"/>
      <c r="D166" s="439"/>
      <c r="E166" s="439"/>
      <c r="F166" s="439"/>
      <c r="G166" s="439"/>
      <c r="H166" s="440"/>
      <c r="P166" s="408"/>
    </row>
    <row r="167" s="407" customFormat="true" ht="12" hidden="false" customHeight="true" outlineLevel="0" collapsed="false">
      <c r="A167" s="435"/>
      <c r="B167" s="439"/>
      <c r="C167" s="439"/>
      <c r="D167" s="439"/>
      <c r="E167" s="439"/>
      <c r="F167" s="439"/>
      <c r="G167" s="439"/>
      <c r="H167" s="440"/>
      <c r="P167" s="408"/>
    </row>
    <row r="168" s="407" customFormat="true" ht="12" hidden="false" customHeight="true" outlineLevel="0" collapsed="false">
      <c r="A168" s="435"/>
      <c r="B168" s="439"/>
      <c r="C168" s="439"/>
      <c r="D168" s="439"/>
      <c r="E168" s="439"/>
      <c r="F168" s="439"/>
      <c r="G168" s="439"/>
      <c r="H168" s="440"/>
      <c r="P168" s="408"/>
    </row>
    <row r="169" s="407" customFormat="true" ht="12" hidden="false" customHeight="true" outlineLevel="0" collapsed="false">
      <c r="A169" s="435"/>
      <c r="B169" s="439"/>
      <c r="C169" s="439"/>
      <c r="D169" s="439"/>
      <c r="E169" s="439"/>
      <c r="F169" s="439"/>
      <c r="G169" s="439"/>
      <c r="H169" s="440"/>
      <c r="P169" s="408"/>
    </row>
    <row r="170" s="407" customFormat="true" ht="12" hidden="false" customHeight="true" outlineLevel="0" collapsed="false">
      <c r="A170" s="435"/>
      <c r="B170" s="439"/>
      <c r="C170" s="439"/>
      <c r="D170" s="439"/>
      <c r="E170" s="439"/>
      <c r="F170" s="439"/>
      <c r="G170" s="439"/>
      <c r="H170" s="440"/>
      <c r="P170" s="408"/>
    </row>
    <row r="171" s="407" customFormat="true" ht="12" hidden="false" customHeight="true" outlineLevel="0" collapsed="false">
      <c r="A171" s="435"/>
      <c r="B171" s="439"/>
      <c r="C171" s="439"/>
      <c r="D171" s="439"/>
      <c r="E171" s="439"/>
      <c r="F171" s="439"/>
      <c r="G171" s="439"/>
      <c r="H171" s="440"/>
      <c r="P171" s="408"/>
    </row>
    <row r="172" s="407" customFormat="true" ht="12" hidden="false" customHeight="true" outlineLevel="0" collapsed="false">
      <c r="A172" s="435"/>
      <c r="B172" s="439"/>
      <c r="C172" s="439"/>
      <c r="D172" s="439"/>
      <c r="E172" s="439"/>
      <c r="F172" s="439"/>
      <c r="G172" s="439"/>
      <c r="H172" s="440"/>
      <c r="P172" s="408"/>
    </row>
    <row r="173" s="407" customFormat="true" ht="12" hidden="false" customHeight="true" outlineLevel="0" collapsed="false">
      <c r="A173" s="433" t="s">
        <v>763</v>
      </c>
      <c r="B173" s="439"/>
      <c r="C173" s="439"/>
      <c r="D173" s="439"/>
      <c r="E173" s="439"/>
      <c r="F173" s="439"/>
      <c r="G173" s="439"/>
      <c r="H173" s="440"/>
      <c r="J173" s="417" t="s">
        <v>764</v>
      </c>
      <c r="P173" s="408"/>
    </row>
    <row r="174" s="407" customFormat="true" ht="12" hidden="false" customHeight="true" outlineLevel="0" collapsed="false">
      <c r="A174" s="435"/>
      <c r="B174" s="439"/>
      <c r="C174" s="439"/>
      <c r="D174" s="439"/>
      <c r="E174" s="439"/>
      <c r="F174" s="439"/>
      <c r="G174" s="439"/>
      <c r="H174" s="440"/>
      <c r="P174" s="417" t="s">
        <v>765</v>
      </c>
    </row>
    <row r="175" s="407" customFormat="true" ht="12" hidden="false" customHeight="true" outlineLevel="0" collapsed="false">
      <c r="A175" s="422" t="s">
        <v>735</v>
      </c>
      <c r="B175" s="422" t="n">
        <v>2005</v>
      </c>
      <c r="C175" s="422" t="n">
        <v>2006</v>
      </c>
      <c r="D175" s="422" t="n">
        <v>2007</v>
      </c>
      <c r="E175" s="422" t="n">
        <v>2008</v>
      </c>
      <c r="F175" s="422" t="n">
        <v>2009</v>
      </c>
      <c r="G175" s="422" t="n">
        <v>2010</v>
      </c>
      <c r="H175" s="422" t="s">
        <v>582</v>
      </c>
      <c r="P175" s="408"/>
    </row>
    <row r="176" s="407" customFormat="true" ht="12" hidden="false" customHeight="true" outlineLevel="0" collapsed="false">
      <c r="A176" s="423" t="s">
        <v>588</v>
      </c>
      <c r="B176" s="424" t="n">
        <f aca="false">B157*B7</f>
        <v>1305.6859944</v>
      </c>
      <c r="C176" s="424" t="n">
        <f aca="false">C157*C7</f>
        <v>1302.6964704</v>
      </c>
      <c r="D176" s="424" t="n">
        <f aca="false">D157*D7</f>
        <v>1218.0041391</v>
      </c>
      <c r="E176" s="424" t="n">
        <f aca="false">E157*E7</f>
        <v>1219.1993264</v>
      </c>
      <c r="F176" s="424" t="n">
        <f aca="false">F157*F7</f>
        <v>1203.8745576</v>
      </c>
      <c r="G176" s="424" t="n">
        <f aca="false">G157*G7</f>
        <v>1145.7330621</v>
      </c>
      <c r="H176" s="425" t="n">
        <f aca="false">(F176-B176)/B176</f>
        <v>-0.0779754376141451</v>
      </c>
      <c r="P176" s="408"/>
    </row>
    <row r="177" s="407" customFormat="true" ht="12" hidden="false" customHeight="true" outlineLevel="0" collapsed="false">
      <c r="A177" s="423" t="s">
        <v>51</v>
      </c>
      <c r="B177" s="424" t="n">
        <f aca="false">B158*B8</f>
        <v>0</v>
      </c>
      <c r="C177" s="424" t="n">
        <f aca="false">C158*C8</f>
        <v>0</v>
      </c>
      <c r="D177" s="424" t="n">
        <f aca="false">D158*D8</f>
        <v>0</v>
      </c>
      <c r="E177" s="424" t="n">
        <f aca="false">E158*E8</f>
        <v>0</v>
      </c>
      <c r="F177" s="424" t="n">
        <f aca="false">F158*F8</f>
        <v>0</v>
      </c>
      <c r="G177" s="424" t="n">
        <f aca="false">G158*G8</f>
        <v>0</v>
      </c>
      <c r="H177" s="425" t="n">
        <v>0</v>
      </c>
      <c r="P177" s="408"/>
    </row>
    <row r="178" s="407" customFormat="true" ht="12" hidden="false" customHeight="true" outlineLevel="0" collapsed="false">
      <c r="A178" s="423" t="s">
        <v>53</v>
      </c>
      <c r="B178" s="424" t="n">
        <f aca="false">B159*B9</f>
        <v>39.1505844186047</v>
      </c>
      <c r="C178" s="424" t="n">
        <f aca="false">C159*C9</f>
        <v>39.1505844186047</v>
      </c>
      <c r="D178" s="424" t="n">
        <f aca="false">D159*D9</f>
        <v>39.1505844186047</v>
      </c>
      <c r="E178" s="424" t="n">
        <f aca="false">E159*E9</f>
        <v>39.1505844186047</v>
      </c>
      <c r="F178" s="424" t="n">
        <f aca="false">F159*F9</f>
        <v>39.1505844186047</v>
      </c>
      <c r="G178" s="424" t="n">
        <f aca="false">G159*G9</f>
        <v>39.1505844186047</v>
      </c>
      <c r="H178" s="425" t="n">
        <f aca="false">(F178-B178)/B178</f>
        <v>0</v>
      </c>
      <c r="P178" s="408"/>
    </row>
    <row r="179" s="407" customFormat="true" ht="12" hidden="false" customHeight="true" outlineLevel="0" collapsed="false">
      <c r="A179" s="423" t="s">
        <v>117</v>
      </c>
      <c r="B179" s="424" t="n">
        <f aca="false">B160*B10</f>
        <v>183.8821524</v>
      </c>
      <c r="C179" s="424" t="n">
        <f aca="false">C160*C10</f>
        <v>183.8821524</v>
      </c>
      <c r="D179" s="424" t="n">
        <f aca="false">D160*D10</f>
        <v>183.8821524</v>
      </c>
      <c r="E179" s="424" t="n">
        <f aca="false">E160*E10</f>
        <v>183.8821524</v>
      </c>
      <c r="F179" s="424" t="n">
        <f aca="false">F160*F10</f>
        <v>183.8821524</v>
      </c>
      <c r="G179" s="424" t="n">
        <f aca="false">G160*G10</f>
        <v>183.8821524</v>
      </c>
      <c r="H179" s="425" t="n">
        <f aca="false">(F179-B179)/B179</f>
        <v>0</v>
      </c>
      <c r="P179" s="408"/>
    </row>
    <row r="180" s="407" customFormat="true" ht="12" hidden="false" customHeight="true" outlineLevel="0" collapsed="false">
      <c r="A180" s="423" t="s">
        <v>118</v>
      </c>
      <c r="B180" s="424" t="n">
        <f aca="false">B161*B11</f>
        <v>0</v>
      </c>
      <c r="C180" s="424" t="n">
        <f aca="false">C161*C11</f>
        <v>0</v>
      </c>
      <c r="D180" s="424" t="n">
        <f aca="false">D161*D11</f>
        <v>0</v>
      </c>
      <c r="E180" s="424" t="n">
        <f aca="false">E161*E11</f>
        <v>0</v>
      </c>
      <c r="F180" s="424" t="n">
        <f aca="false">F161*F11</f>
        <v>0</v>
      </c>
      <c r="G180" s="424" t="n">
        <f aca="false">G161*G11</f>
        <v>0</v>
      </c>
      <c r="H180" s="425" t="n">
        <v>0</v>
      </c>
      <c r="P180" s="408"/>
    </row>
    <row r="181" s="407" customFormat="true" ht="12" hidden="false" customHeight="true" outlineLevel="0" collapsed="false">
      <c r="A181" s="423" t="s">
        <v>119</v>
      </c>
      <c r="B181" s="424" t="n">
        <f aca="false">B162*B12</f>
        <v>0</v>
      </c>
      <c r="C181" s="424" t="n">
        <f aca="false">C162*C12</f>
        <v>0</v>
      </c>
      <c r="D181" s="424" t="n">
        <f aca="false">D162*D12</f>
        <v>0</v>
      </c>
      <c r="E181" s="424" t="n">
        <f aca="false">E162*E12</f>
        <v>0</v>
      </c>
      <c r="F181" s="424" t="n">
        <f aca="false">F162*F12</f>
        <v>0</v>
      </c>
      <c r="G181" s="424" t="n">
        <f aca="false">G162*G12</f>
        <v>0</v>
      </c>
      <c r="H181" s="425" t="n">
        <v>0</v>
      </c>
      <c r="P181" s="408"/>
    </row>
    <row r="182" s="407" customFormat="true" ht="12" hidden="false" customHeight="true" outlineLevel="0" collapsed="false">
      <c r="A182" s="428" t="s">
        <v>272</v>
      </c>
      <c r="B182" s="429" t="n">
        <f aca="false">+B176+B177+B178+B179+B180+B181</f>
        <v>1528.7187312186</v>
      </c>
      <c r="C182" s="429" t="n">
        <f aca="false">+C176+C177+C178+C179+C180+C181</f>
        <v>1525.72920721861</v>
      </c>
      <c r="D182" s="429" t="n">
        <f aca="false">+D176+D177+D178+D179+D180+D181</f>
        <v>1441.03687591861</v>
      </c>
      <c r="E182" s="429" t="n">
        <f aca="false">+E176+E177+E178+E179+E180+E181</f>
        <v>1442.2320632186</v>
      </c>
      <c r="F182" s="429" t="n">
        <f aca="false">+F176+F177+F178+F179+F180+F181</f>
        <v>1426.9072944186</v>
      </c>
      <c r="G182" s="429" t="n">
        <f aca="false">+G176+G177+G178+G179+G180+G181</f>
        <v>1368.7657989186</v>
      </c>
      <c r="H182" s="425" t="n">
        <f aca="false">(F182-B182)/B182</f>
        <v>-0.066599194947289</v>
      </c>
      <c r="P182" s="408"/>
    </row>
    <row r="183" s="407" customFormat="true" ht="12.75" hidden="false" customHeight="true" outlineLevel="0" collapsed="false">
      <c r="A183" s="435"/>
      <c r="B183" s="439"/>
      <c r="C183" s="439"/>
      <c r="D183" s="439"/>
      <c r="E183" s="439"/>
      <c r="F183" s="439"/>
      <c r="G183" s="439"/>
      <c r="H183" s="440"/>
      <c r="P183" s="408"/>
    </row>
    <row r="184" s="407" customFormat="true" ht="12.75" hidden="false" customHeight="true" outlineLevel="0" collapsed="false">
      <c r="A184" s="435"/>
      <c r="B184" s="439"/>
      <c r="C184" s="439"/>
      <c r="D184" s="439"/>
      <c r="E184" s="439"/>
      <c r="F184" s="439"/>
      <c r="G184" s="439"/>
      <c r="H184" s="440"/>
      <c r="P184" s="408"/>
    </row>
    <row r="185" s="407" customFormat="true" ht="12.75" hidden="false" customHeight="true" outlineLevel="0" collapsed="false">
      <c r="A185" s="435"/>
      <c r="B185" s="439"/>
      <c r="C185" s="439"/>
      <c r="D185" s="439"/>
      <c r="E185" s="439"/>
      <c r="F185" s="439"/>
      <c r="G185" s="439"/>
      <c r="H185" s="440"/>
      <c r="P185" s="408"/>
    </row>
    <row r="186" s="407" customFormat="true" ht="12.75" hidden="false" customHeight="true" outlineLevel="0" collapsed="false">
      <c r="A186" s="435"/>
      <c r="B186" s="439"/>
      <c r="C186" s="439"/>
      <c r="D186" s="439"/>
      <c r="E186" s="439"/>
      <c r="F186" s="439"/>
      <c r="G186" s="439"/>
      <c r="H186" s="440"/>
      <c r="P186" s="408"/>
    </row>
    <row r="187" s="407" customFormat="true" ht="14.25" hidden="false" customHeight="true" outlineLevel="0" collapsed="false">
      <c r="A187" s="435"/>
      <c r="B187" s="439"/>
      <c r="C187" s="439"/>
      <c r="D187" s="439"/>
      <c r="E187" s="439"/>
      <c r="F187" s="439"/>
      <c r="G187" s="439"/>
      <c r="H187" s="440"/>
      <c r="P187" s="408"/>
    </row>
    <row r="188" s="407" customFormat="true" ht="12.75" hidden="false" customHeight="true" outlineLevel="0" collapsed="false">
      <c r="A188" s="435"/>
      <c r="B188" s="439"/>
      <c r="C188" s="439"/>
      <c r="D188" s="439"/>
      <c r="E188" s="439"/>
      <c r="F188" s="439"/>
      <c r="G188" s="439"/>
      <c r="H188" s="440"/>
      <c r="P188" s="408"/>
    </row>
    <row r="189" s="407" customFormat="true" ht="12.75" hidden="false" customHeight="true" outlineLevel="0" collapsed="false">
      <c r="A189" s="421" t="s">
        <v>766</v>
      </c>
      <c r="B189" s="439"/>
      <c r="C189" s="439"/>
      <c r="D189" s="439"/>
      <c r="E189" s="439"/>
      <c r="F189" s="439"/>
      <c r="G189" s="439"/>
      <c r="H189" s="440"/>
      <c r="J189" s="417" t="s">
        <v>767</v>
      </c>
      <c r="P189" s="408"/>
    </row>
    <row r="190" s="407" customFormat="true" ht="12.75" hidden="false" customHeight="true" outlineLevel="0" collapsed="false">
      <c r="A190" s="421"/>
      <c r="B190" s="439"/>
      <c r="C190" s="439"/>
      <c r="D190" s="439"/>
      <c r="E190" s="439"/>
      <c r="F190" s="439"/>
      <c r="G190" s="439"/>
      <c r="H190" s="440"/>
      <c r="P190" s="417" t="s">
        <v>768</v>
      </c>
    </row>
    <row r="191" s="407" customFormat="true" ht="12.75" hidden="false" customHeight="true" outlineLevel="0" collapsed="false">
      <c r="A191" s="422" t="s">
        <v>735</v>
      </c>
      <c r="B191" s="422" t="n">
        <v>2005</v>
      </c>
      <c r="C191" s="422" t="n">
        <v>2006</v>
      </c>
      <c r="D191" s="422" t="n">
        <v>2007</v>
      </c>
      <c r="E191" s="422" t="n">
        <v>2008</v>
      </c>
      <c r="F191" s="422" t="n">
        <v>2009</v>
      </c>
      <c r="G191" s="422" t="n">
        <v>2010</v>
      </c>
      <c r="H191" s="422" t="s">
        <v>582</v>
      </c>
      <c r="P191" s="408"/>
    </row>
    <row r="192" s="407" customFormat="true" ht="25.5" hidden="false" customHeight="true" outlineLevel="0" collapsed="false">
      <c r="A192" s="423" t="s">
        <v>304</v>
      </c>
      <c r="B192" s="424" t="n">
        <f aca="false">+'8.EQUIPAM'!H303</f>
        <v>271.308</v>
      </c>
      <c r="C192" s="424" t="n">
        <f aca="false">+'8.EQUIPAM'!I303</f>
        <v>333.631</v>
      </c>
      <c r="D192" s="424" t="n">
        <f aca="false">+'8.EQUIPAM'!J303</f>
        <v>373.511</v>
      </c>
      <c r="E192" s="424" t="n">
        <f aca="false">+'8.EQUIPAM'!K303</f>
        <v>340.182</v>
      </c>
      <c r="F192" s="424" t="n">
        <f aca="false">+'8.EQUIPAM'!L303</f>
        <v>342.314</v>
      </c>
      <c r="G192" s="424" t="n">
        <f aca="false">+'8.EQUIPAM'!M303</f>
        <v>289.718</v>
      </c>
      <c r="H192" s="425" t="n">
        <f aca="false">(F192-B192)/B192</f>
        <v>0.261717310215696</v>
      </c>
      <c r="P192" s="408"/>
    </row>
    <row r="193" s="407" customFormat="true" ht="25.5" hidden="false" customHeight="true" outlineLevel="0" collapsed="false">
      <c r="A193" s="423" t="s">
        <v>305</v>
      </c>
      <c r="B193" s="424" t="n">
        <f aca="false">+'8.EQUIPAM'!H304</f>
        <v>275.54</v>
      </c>
      <c r="C193" s="424" t="n">
        <f aca="false">+'8.EQUIPAM'!I304</f>
        <v>271.31</v>
      </c>
      <c r="D193" s="424" t="n">
        <f aca="false">+'8.EQUIPAM'!J304</f>
        <v>242.696</v>
      </c>
      <c r="E193" s="424" t="n">
        <f aca="false">+'8.EQUIPAM'!K304</f>
        <v>258.345</v>
      </c>
      <c r="F193" s="424" t="n">
        <f aca="false">+'8.EQUIPAM'!L304</f>
        <v>298.786</v>
      </c>
      <c r="G193" s="424" t="n">
        <f aca="false">+'8.EQUIPAM'!M304</f>
        <v>279.96</v>
      </c>
      <c r="H193" s="425" t="n">
        <f aca="false">(F193-B193)/B193</f>
        <v>0.0843652464252014</v>
      </c>
      <c r="P193" s="408"/>
    </row>
    <row r="194" s="407" customFormat="true" ht="27" hidden="false" customHeight="false" outlineLevel="0" collapsed="false">
      <c r="A194" s="423" t="s">
        <v>306</v>
      </c>
      <c r="B194" s="424" t="n">
        <f aca="false">+'8.EQUIPAM'!H305</f>
        <v>1206.25887441861</v>
      </c>
      <c r="C194" s="424" t="n">
        <f aca="false">+'8.EQUIPAM'!I305</f>
        <v>1156.9028744186</v>
      </c>
      <c r="D194" s="424" t="n">
        <f aca="false">+'8.EQUIPAM'!J305</f>
        <v>1168.46287441861</v>
      </c>
      <c r="E194" s="424" t="n">
        <f aca="false">+'8.EQUIPAM'!K305</f>
        <v>1143.9418744186</v>
      </c>
      <c r="F194" s="424" t="n">
        <f aca="false">+'8.EQUIPAM'!L305</f>
        <v>1087.5778744186</v>
      </c>
      <c r="G194" s="424" t="n">
        <f aca="false">+'8.EQUIPAM'!M305</f>
        <v>1115.9378744186</v>
      </c>
      <c r="H194" s="425" t="n">
        <f aca="false">(F194-B194)/B194</f>
        <v>-0.0983876699412491</v>
      </c>
      <c r="J194" s="450"/>
      <c r="P194" s="408"/>
    </row>
    <row r="195" s="407" customFormat="true" ht="25.5" hidden="false" customHeight="true" outlineLevel="0" collapsed="false">
      <c r="A195" s="423" t="s">
        <v>307</v>
      </c>
      <c r="B195" s="424" t="n">
        <f aca="false">+'8.EQUIPAM'!H306</f>
        <v>256.857860465116</v>
      </c>
      <c r="C195" s="424" t="n">
        <f aca="false">+'8.EQUIPAM'!I306</f>
        <v>222.565860465116</v>
      </c>
      <c r="D195" s="424" t="n">
        <f aca="false">+'8.EQUIPAM'!J306</f>
        <v>239.673860465116</v>
      </c>
      <c r="E195" s="424" t="n">
        <f aca="false">+'8.EQUIPAM'!K306</f>
        <v>217.822860465116</v>
      </c>
      <c r="F195" s="424" t="n">
        <f aca="false">+'8.EQUIPAM'!L306</f>
        <v>204.450860465116</v>
      </c>
      <c r="G195" s="424" t="n">
        <f aca="false">+'8.EQUIPAM'!M306</f>
        <v>199.997860465116</v>
      </c>
      <c r="H195" s="425" t="n">
        <f aca="false">(F195-B195)/B195</f>
        <v>-0.204031131868426</v>
      </c>
      <c r="J195" s="450"/>
      <c r="P195" s="408"/>
    </row>
    <row r="196" s="407" customFormat="true" ht="25.5" hidden="false" customHeight="true" outlineLevel="0" collapsed="false">
      <c r="A196" s="423" t="s">
        <v>311</v>
      </c>
      <c r="B196" s="424" t="n">
        <f aca="false">+'8.EQUIPAM'!H307</f>
        <v>274.335</v>
      </c>
      <c r="C196" s="424" t="n">
        <f aca="false">+'8.EQUIPAM'!I307</f>
        <v>213.267</v>
      </c>
      <c r="D196" s="424" t="n">
        <f aca="false">+'8.EQUIPAM'!J307</f>
        <v>179.272</v>
      </c>
      <c r="E196" s="424" t="n">
        <f aca="false">+'8.EQUIPAM'!K307</f>
        <v>276.945</v>
      </c>
      <c r="F196" s="424" t="n">
        <f aca="false">+'8.EQUIPAM'!L307</f>
        <v>232.019</v>
      </c>
      <c r="G196" s="424" t="n">
        <f aca="false">+'8.EQUIPAM'!M307</f>
        <v>226.003</v>
      </c>
      <c r="H196" s="425" t="n">
        <f aca="false">(F196-B196)/B196</f>
        <v>-0.154249366650263</v>
      </c>
      <c r="J196" s="450"/>
      <c r="P196" s="408"/>
    </row>
    <row r="197" s="407" customFormat="true" ht="25.5" hidden="false" customHeight="true" outlineLevel="0" collapsed="false">
      <c r="A197" s="423" t="s">
        <v>247</v>
      </c>
      <c r="B197" s="424" t="n">
        <f aca="false">+'8.EQUIPAM'!H308</f>
        <v>124.255</v>
      </c>
      <c r="C197" s="424" t="n">
        <f aca="false">+'8.EQUIPAM'!I308</f>
        <v>97.546</v>
      </c>
      <c r="D197" s="424" t="n">
        <f aca="false">+'8.EQUIPAM'!J308</f>
        <v>140.932</v>
      </c>
      <c r="E197" s="424" t="n">
        <f aca="false">+'8.EQUIPAM'!K308</f>
        <v>97.817</v>
      </c>
      <c r="F197" s="424" t="n">
        <f aca="false">+'8.EQUIPAM'!L308</f>
        <v>115.515</v>
      </c>
      <c r="G197" s="424" t="n">
        <f aca="false">+'8.EQUIPAM'!M308</f>
        <v>100.491</v>
      </c>
      <c r="H197" s="425" t="n">
        <f aca="false">(F197-B197)/B197</f>
        <v>-0.0703392217616997</v>
      </c>
      <c r="J197" s="450"/>
      <c r="P197" s="408"/>
    </row>
    <row r="198" s="407" customFormat="true" ht="12.75" hidden="false" customHeight="true" outlineLevel="0" collapsed="false">
      <c r="A198" s="428" t="s">
        <v>272</v>
      </c>
      <c r="B198" s="429" t="n">
        <f aca="false">+B192+B193+B194+B195+B196+B197</f>
        <v>2408.55473488372</v>
      </c>
      <c r="C198" s="429" t="n">
        <f aca="false">+C192+C193+C194+C195+C196+C197</f>
        <v>2295.22273488372</v>
      </c>
      <c r="D198" s="429" t="n">
        <f aca="false">+D192+D193+D194+D195+D196+D197</f>
        <v>2344.54773488372</v>
      </c>
      <c r="E198" s="429" t="n">
        <f aca="false">+E192+E193+E194+E195+E196+E197</f>
        <v>2335.05373488372</v>
      </c>
      <c r="F198" s="429" t="n">
        <f aca="false">+F192+F193+F194+F195+F196+F197</f>
        <v>2280.66273488372</v>
      </c>
      <c r="G198" s="429" t="n">
        <f aca="false">+G192+G193+G194+G195+G196+G197</f>
        <v>2212.10773488372</v>
      </c>
      <c r="H198" s="425" t="n">
        <f aca="false">(F198-B198)/B198</f>
        <v>-0.0530990631633601</v>
      </c>
      <c r="J198" s="450"/>
      <c r="P198" s="408"/>
    </row>
    <row r="199" s="407" customFormat="true" ht="12.75" hidden="false" customHeight="true" outlineLevel="0" collapsed="false">
      <c r="A199" s="451" t="s">
        <v>769</v>
      </c>
      <c r="B199" s="350" t="n">
        <f aca="false">+B163</f>
        <v>2408.55473488372</v>
      </c>
      <c r="C199" s="350" t="n">
        <f aca="false">+C163</f>
        <v>2295.22273488372</v>
      </c>
      <c r="D199" s="350" t="n">
        <f aca="false">+D163</f>
        <v>2344.54773488372</v>
      </c>
      <c r="E199" s="350" t="n">
        <f aca="false">+E163</f>
        <v>2335.05373488372</v>
      </c>
      <c r="F199" s="350" t="n">
        <f aca="false">+F163</f>
        <v>2280.66273488372</v>
      </c>
      <c r="G199" s="350" t="n">
        <f aca="false">+G163</f>
        <v>2212.10773488372</v>
      </c>
      <c r="H199" s="440"/>
      <c r="J199" s="450"/>
      <c r="P199" s="408"/>
    </row>
    <row r="200" s="407" customFormat="true" ht="12.75" hidden="false" customHeight="true" outlineLevel="0" collapsed="false">
      <c r="A200" s="421"/>
      <c r="B200" s="439"/>
      <c r="C200" s="439"/>
      <c r="D200" s="439"/>
      <c r="E200" s="439"/>
      <c r="F200" s="439"/>
      <c r="G200" s="439"/>
      <c r="H200" s="440"/>
      <c r="P200" s="408"/>
    </row>
    <row r="201" s="407" customFormat="true" ht="12.75" hidden="false" customHeight="true" outlineLevel="0" collapsed="false">
      <c r="A201" s="421"/>
      <c r="B201" s="439"/>
      <c r="C201" s="439"/>
      <c r="D201" s="439"/>
      <c r="E201" s="439"/>
      <c r="F201" s="439"/>
      <c r="G201" s="439"/>
      <c r="H201" s="440"/>
      <c r="J201" s="417" t="s">
        <v>770</v>
      </c>
      <c r="P201" s="417" t="s">
        <v>771</v>
      </c>
    </row>
    <row r="202" s="407" customFormat="true" ht="12.75" hidden="false" customHeight="true" outlineLevel="0" collapsed="false">
      <c r="A202" s="433" t="s">
        <v>772</v>
      </c>
      <c r="B202" s="439"/>
      <c r="C202" s="439"/>
      <c r="D202" s="439"/>
      <c r="E202" s="439"/>
      <c r="F202" s="439"/>
      <c r="G202" s="439"/>
      <c r="H202" s="440"/>
      <c r="P202" s="408"/>
    </row>
    <row r="203" s="407" customFormat="true" ht="12.75" hidden="false" customHeight="true" outlineLevel="0" collapsed="false">
      <c r="A203" s="435"/>
      <c r="B203" s="439"/>
      <c r="C203" s="439"/>
      <c r="D203" s="439"/>
      <c r="E203" s="439"/>
      <c r="F203" s="439"/>
      <c r="G203" s="439"/>
      <c r="H203" s="440"/>
      <c r="P203" s="408"/>
    </row>
    <row r="204" s="407" customFormat="true" ht="12.75" hidden="false" customHeight="true" outlineLevel="0" collapsed="false">
      <c r="A204" s="422" t="s">
        <v>735</v>
      </c>
      <c r="B204" s="422" t="n">
        <v>2005</v>
      </c>
      <c r="C204" s="422" t="n">
        <v>2006</v>
      </c>
      <c r="D204" s="422" t="n">
        <v>2007</v>
      </c>
      <c r="E204" s="422" t="n">
        <v>2008</v>
      </c>
      <c r="F204" s="422" t="n">
        <v>2009</v>
      </c>
      <c r="G204" s="422" t="n">
        <v>2010</v>
      </c>
      <c r="H204" s="422" t="s">
        <v>582</v>
      </c>
      <c r="P204" s="408"/>
    </row>
    <row r="205" s="407" customFormat="true" ht="25.5" hidden="false" customHeight="true" outlineLevel="0" collapsed="false">
      <c r="A205" s="423" t="s">
        <v>304</v>
      </c>
      <c r="B205" s="424" t="n">
        <f aca="false">+'8.EQUIPAM'!H347</f>
        <v>228.9296904</v>
      </c>
      <c r="C205" s="424" t="n">
        <f aca="false">+'8.EQUIPAM'!I347</f>
        <v>303.0704004</v>
      </c>
      <c r="D205" s="424" t="n">
        <f aca="false">+'8.EQUIPAM'!J347</f>
        <v>306.6898821</v>
      </c>
      <c r="E205" s="424" t="n">
        <f aca="false">+'8.EQUIPAM'!K347</f>
        <v>281.3985504</v>
      </c>
      <c r="F205" s="424" t="n">
        <f aca="false">+'8.EQUIPAM'!L347</f>
        <v>290.3165034</v>
      </c>
      <c r="G205" s="424" t="n">
        <f aca="false">+'8.EQUIPAM'!M347</f>
        <v>245.7098358</v>
      </c>
      <c r="H205" s="425" t="n">
        <f aca="false">(F205-B205)/B205</f>
        <v>0.268147014451211</v>
      </c>
      <c r="P205" s="408"/>
    </row>
    <row r="206" s="407" customFormat="true" ht="25.5" hidden="false" customHeight="true" outlineLevel="0" collapsed="false">
      <c r="A206" s="423" t="s">
        <v>305</v>
      </c>
      <c r="B206" s="424" t="n">
        <f aca="false">+'8.EQUIPAM'!H348</f>
        <v>232.500652</v>
      </c>
      <c r="C206" s="424" t="n">
        <f aca="false">+'8.EQUIPAM'!I348</f>
        <v>246.458004</v>
      </c>
      <c r="D206" s="424" t="n">
        <f aca="false">+'8.EQUIPAM'!J348</f>
        <v>199.2776856</v>
      </c>
      <c r="E206" s="424" t="n">
        <f aca="false">+'8.EQUIPAM'!K348</f>
        <v>213.702984</v>
      </c>
      <c r="F206" s="424" t="n">
        <f aca="false">+'8.EQUIPAM'!L348</f>
        <v>253.4004066</v>
      </c>
      <c r="G206" s="424" t="n">
        <f aca="false">+'8.EQUIPAM'!M348</f>
        <v>237.434076</v>
      </c>
      <c r="H206" s="425" t="n">
        <f aca="false">(F206-B206)/B206</f>
        <v>0.0898911655525164</v>
      </c>
      <c r="P206" s="408"/>
    </row>
    <row r="207" s="407" customFormat="true" ht="25.5" hidden="false" customHeight="true" outlineLevel="0" collapsed="false">
      <c r="A207" s="423" t="s">
        <v>306</v>
      </c>
      <c r="B207" s="424" t="n">
        <f aca="false">+'8.EQUIPAM'!H349</f>
        <v>586.351223693023</v>
      </c>
      <c r="C207" s="424" t="n">
        <f aca="false">+'8.EQUIPAM'!I349</f>
        <v>571.363629693023</v>
      </c>
      <c r="D207" s="424" t="n">
        <f aca="false">+'8.EQUIPAM'!J349</f>
        <v>544.828756293023</v>
      </c>
      <c r="E207" s="424" t="n">
        <f aca="false">+'8.EQUIPAM'!K349</f>
        <v>527.132836893023</v>
      </c>
      <c r="F207" s="424" t="n">
        <f aca="false">+'8.EQUIPAM'!L349</f>
        <v>487.684613793023</v>
      </c>
      <c r="G207" s="424" t="n">
        <f aca="false">+'8.EQUIPAM'!M349</f>
        <v>511.736729793023</v>
      </c>
      <c r="H207" s="425" t="n">
        <f aca="false">(F207-B207)/B207</f>
        <v>-0.16827219917538</v>
      </c>
      <c r="P207" s="408"/>
    </row>
    <row r="208" s="407" customFormat="true" ht="25.5" hidden="false" customHeight="true" outlineLevel="0" collapsed="false">
      <c r="A208" s="423" t="s">
        <v>307</v>
      </c>
      <c r="B208" s="424" t="n">
        <f aca="false">+'8.EQUIPAM'!H350</f>
        <v>144.606923125581</v>
      </c>
      <c r="C208" s="424" t="n">
        <f aca="false">+'8.EQUIPAM'!I350</f>
        <v>122.494643925581</v>
      </c>
      <c r="D208" s="424" t="n">
        <f aca="false">+'8.EQUIPAM'!J350</f>
        <v>127.321047525581</v>
      </c>
      <c r="E208" s="424" t="n">
        <f aca="false">+'8.EQUIPAM'!K350</f>
        <v>109.994565525581</v>
      </c>
      <c r="F208" s="424" t="n">
        <f aca="false">+'8.EQUIPAM'!L350</f>
        <v>100.762185225581</v>
      </c>
      <c r="G208" s="424" t="n">
        <f aca="false">+'8.EQUIPAM'!M350</f>
        <v>96.9855959255814</v>
      </c>
      <c r="H208" s="425" t="n">
        <f aca="false">(F208-B208)/B208</f>
        <v>-0.303199438535345</v>
      </c>
      <c r="P208" s="408"/>
    </row>
    <row r="209" s="407" customFormat="true" ht="25.5" hidden="false" customHeight="true" outlineLevel="0" collapsed="false">
      <c r="A209" s="423" t="s">
        <v>311</v>
      </c>
      <c r="B209" s="424" t="n">
        <f aca="false">+'8.EQUIPAM'!H351</f>
        <v>231.483873</v>
      </c>
      <c r="C209" s="424" t="n">
        <f aca="false">+'8.EQUIPAM'!I351</f>
        <v>193.7317428</v>
      </c>
      <c r="D209" s="424" t="n">
        <f aca="false">+'8.EQUIPAM'!J351</f>
        <v>147.2002392</v>
      </c>
      <c r="E209" s="424" t="n">
        <f aca="false">+'8.EQUIPAM'!K351</f>
        <v>229.088904</v>
      </c>
      <c r="F209" s="424" t="n">
        <f aca="false">+'8.EQUIPAM'!L351</f>
        <v>196.7753139</v>
      </c>
      <c r="G209" s="424" t="n">
        <f aca="false">+'8.EQUIPAM'!M351</f>
        <v>191.6731443</v>
      </c>
      <c r="H209" s="425" t="n">
        <f aca="false">(F209-B209)/B209</f>
        <v>-0.149939426233809</v>
      </c>
      <c r="P209" s="408"/>
    </row>
    <row r="210" s="407" customFormat="true" ht="25.5" hidden="false" customHeight="true" outlineLevel="0" collapsed="false">
      <c r="A210" s="423" t="s">
        <v>247</v>
      </c>
      <c r="B210" s="424" t="n">
        <f aca="false">+'8.EQUIPAM'!H352</f>
        <v>104.846369</v>
      </c>
      <c r="C210" s="424" t="n">
        <f aca="false">+'8.EQUIPAM'!I352</f>
        <v>88.6107864</v>
      </c>
      <c r="D210" s="424" t="n">
        <f aca="false">+'8.EQUIPAM'!J352</f>
        <v>115.7192652</v>
      </c>
      <c r="E210" s="424" t="n">
        <f aca="false">+'8.EQUIPAM'!K352</f>
        <v>80.9142224</v>
      </c>
      <c r="F210" s="424" t="n">
        <f aca="false">+'8.EQUIPAM'!L352</f>
        <v>97.9682715</v>
      </c>
      <c r="G210" s="424" t="n">
        <f aca="false">+'8.EQUIPAM'!M352</f>
        <v>85.2264171</v>
      </c>
      <c r="H210" s="425" t="n">
        <f aca="false">(F210-B210)/B210</f>
        <v>-0.0656016757242209</v>
      </c>
      <c r="P210" s="408"/>
    </row>
    <row r="211" s="407" customFormat="true" ht="12.75" hidden="false" customHeight="true" outlineLevel="0" collapsed="false">
      <c r="A211" s="428" t="s">
        <v>272</v>
      </c>
      <c r="B211" s="429" t="n">
        <f aca="false">+B205+B206+B207+B208+B209+B210</f>
        <v>1528.7187312186</v>
      </c>
      <c r="C211" s="429" t="n">
        <f aca="false">+C205+C206+C207+C208+C209+C210</f>
        <v>1525.7292072186</v>
      </c>
      <c r="D211" s="429" t="n">
        <f aca="false">+D205+D206+D207+D208+D209+D210</f>
        <v>1441.0368759186</v>
      </c>
      <c r="E211" s="429" t="n">
        <f aca="false">+E205+E206+E207+E208+E209+E210</f>
        <v>1442.2320632186</v>
      </c>
      <c r="F211" s="429" t="n">
        <f aca="false">+F205+F206+F207+F208+F209+F210</f>
        <v>1426.9072944186</v>
      </c>
      <c r="G211" s="429" t="n">
        <f aca="false">+G205+G206+G207+G208+G209+G210</f>
        <v>1368.7657989186</v>
      </c>
      <c r="H211" s="425" t="n">
        <f aca="false">(F211-B211)/B211</f>
        <v>-0.0665991949472891</v>
      </c>
      <c r="P211" s="408"/>
    </row>
    <row r="212" s="407" customFormat="true" ht="12.75" hidden="false" customHeight="true" outlineLevel="0" collapsed="false">
      <c r="A212" s="451" t="s">
        <v>769</v>
      </c>
      <c r="B212" s="350" t="n">
        <f aca="false">+B182</f>
        <v>1528.7187312186</v>
      </c>
      <c r="C212" s="350" t="n">
        <f aca="false">+C182</f>
        <v>1525.72920721861</v>
      </c>
      <c r="D212" s="350" t="n">
        <f aca="false">+D182</f>
        <v>1441.03687591861</v>
      </c>
      <c r="E212" s="350" t="n">
        <f aca="false">+E182</f>
        <v>1442.2320632186</v>
      </c>
      <c r="F212" s="350" t="n">
        <f aca="false">+F182</f>
        <v>1426.9072944186</v>
      </c>
      <c r="G212" s="350" t="n">
        <f aca="false">+G182</f>
        <v>1368.7657989186</v>
      </c>
      <c r="H212" s="440"/>
      <c r="P212" s="408"/>
    </row>
    <row r="213" s="407" customFormat="true" ht="12.75" hidden="false" customHeight="true" outlineLevel="0" collapsed="false">
      <c r="A213" s="435"/>
      <c r="B213" s="439"/>
      <c r="C213" s="439"/>
      <c r="D213" s="439"/>
      <c r="E213" s="439"/>
      <c r="F213" s="439"/>
      <c r="G213" s="439"/>
      <c r="H213" s="440"/>
      <c r="P213" s="408"/>
    </row>
    <row r="214" s="407" customFormat="true" ht="12.75" hidden="false" customHeight="true" outlineLevel="0" collapsed="false">
      <c r="A214" s="435"/>
      <c r="B214" s="439"/>
      <c r="C214" s="439"/>
      <c r="D214" s="439"/>
      <c r="E214" s="439"/>
      <c r="F214" s="439"/>
      <c r="G214" s="439"/>
      <c r="H214" s="440"/>
      <c r="P214" s="408"/>
    </row>
    <row r="215" s="407" customFormat="true" ht="12.75" hidden="false" customHeight="true" outlineLevel="0" collapsed="false">
      <c r="A215" s="442" t="s">
        <v>773</v>
      </c>
      <c r="B215" s="439"/>
      <c r="C215" s="439"/>
      <c r="D215" s="439"/>
      <c r="E215" s="439"/>
      <c r="F215" s="439"/>
      <c r="G215" s="439"/>
      <c r="H215" s="440"/>
      <c r="P215" s="408"/>
    </row>
    <row r="216" s="407" customFormat="true" ht="12.75" hidden="false" customHeight="true" outlineLevel="0" collapsed="false">
      <c r="A216" s="435"/>
      <c r="B216" s="439"/>
      <c r="C216" s="439"/>
      <c r="D216" s="439"/>
      <c r="E216" s="439"/>
      <c r="F216" s="439"/>
      <c r="G216" s="439"/>
      <c r="H216" s="440"/>
      <c r="P216" s="408"/>
    </row>
    <row r="217" s="407" customFormat="true" ht="12.75" hidden="false" customHeight="true" outlineLevel="0" collapsed="false">
      <c r="A217" s="422" t="s">
        <v>80</v>
      </c>
      <c r="B217" s="422" t="n">
        <v>2005</v>
      </c>
      <c r="C217" s="422" t="n">
        <v>2006</v>
      </c>
      <c r="D217" s="422" t="n">
        <v>2007</v>
      </c>
      <c r="E217" s="422" t="n">
        <v>2008</v>
      </c>
      <c r="F217" s="422" t="n">
        <v>2009</v>
      </c>
      <c r="G217" s="422" t="n">
        <v>2010</v>
      </c>
      <c r="H217" s="422" t="s">
        <v>582</v>
      </c>
      <c r="P217" s="408"/>
    </row>
    <row r="218" s="407" customFormat="true" ht="39" hidden="false" customHeight="true" outlineLevel="0" collapsed="false">
      <c r="A218" s="423" t="s">
        <v>736</v>
      </c>
      <c r="B218" s="427" t="n">
        <f aca="false">'10. VEHICLES PROPIS'!B7</f>
        <v>26</v>
      </c>
      <c r="C218" s="427" t="n">
        <f aca="false">'10. VEHICLES PROPIS'!C7</f>
        <v>33</v>
      </c>
      <c r="D218" s="427" t="n">
        <f aca="false">'10. VEHICLES PROPIS'!D7</f>
        <v>33</v>
      </c>
      <c r="E218" s="427" t="n">
        <f aca="false">'10. VEHICLES PROPIS'!E7</f>
        <v>33</v>
      </c>
      <c r="F218" s="427" t="n">
        <f aca="false">'10. VEHICLES PROPIS'!F7</f>
        <v>33</v>
      </c>
      <c r="G218" s="427" t="n">
        <f aca="false">'10. VEHICLES PROPIS'!G7</f>
        <v>34</v>
      </c>
      <c r="H218" s="452" t="n">
        <f aca="false">(F218-B218)/B218</f>
        <v>0.269230769230769</v>
      </c>
      <c r="P218" s="408"/>
    </row>
    <row r="219" s="407" customFormat="true" ht="39" hidden="false" customHeight="true" outlineLevel="0" collapsed="false">
      <c r="A219" s="423" t="s">
        <v>774</v>
      </c>
      <c r="B219" s="427" t="n">
        <f aca="false">'11. VEHICLES EXT.'!B7</f>
        <v>7</v>
      </c>
      <c r="C219" s="427" t="n">
        <f aca="false">'11. VEHICLES EXT.'!C7</f>
        <v>7</v>
      </c>
      <c r="D219" s="427" t="n">
        <f aca="false">'11. VEHICLES EXT.'!D7</f>
        <v>7</v>
      </c>
      <c r="E219" s="427" t="n">
        <f aca="false">'11. VEHICLES EXT.'!E7</f>
        <v>7</v>
      </c>
      <c r="F219" s="427" t="n">
        <f aca="false">'11. VEHICLES EXT.'!F7</f>
        <v>7</v>
      </c>
      <c r="G219" s="427" t="n">
        <f aca="false">'11. VEHICLES EXT.'!G7</f>
        <v>7</v>
      </c>
      <c r="H219" s="452" t="n">
        <f aca="false">(F219-B219)/B219</f>
        <v>0</v>
      </c>
      <c r="P219" s="408"/>
    </row>
    <row r="220" s="407" customFormat="true" ht="12.75" hidden="false" customHeight="true" outlineLevel="0" collapsed="false">
      <c r="A220" s="428" t="s">
        <v>272</v>
      </c>
      <c r="B220" s="453" t="n">
        <f aca="false">SUM(B218:B219)</f>
        <v>33</v>
      </c>
      <c r="C220" s="453" t="n">
        <f aca="false">SUM(C218:C219)</f>
        <v>40</v>
      </c>
      <c r="D220" s="453" t="n">
        <f aca="false">SUM(D218:D219)</f>
        <v>40</v>
      </c>
      <c r="E220" s="453" t="n">
        <f aca="false">SUM(E218:E219)</f>
        <v>40</v>
      </c>
      <c r="F220" s="453" t="n">
        <f aca="false">SUM(F218:F219)</f>
        <v>40</v>
      </c>
      <c r="G220" s="453" t="n">
        <f aca="false">SUM(G218:G219)</f>
        <v>41</v>
      </c>
      <c r="H220" s="452" t="n">
        <f aca="false">(F220-B220)/B220</f>
        <v>0.212121212121212</v>
      </c>
      <c r="P220" s="408"/>
    </row>
    <row r="221" customFormat="false" ht="12.75" hidden="false" customHeight="true" outlineLevel="0" collapsed="false">
      <c r="A221" s="435"/>
      <c r="B221" s="439"/>
      <c r="C221" s="439"/>
      <c r="D221" s="439"/>
      <c r="E221" s="439"/>
      <c r="F221" s="439"/>
      <c r="G221" s="439"/>
      <c r="H221" s="440"/>
    </row>
    <row r="222" customFormat="false" ht="12.75" hidden="false" customHeight="true" outlineLevel="0" collapsed="false">
      <c r="A222" s="454" t="s">
        <v>775</v>
      </c>
      <c r="B222" s="439"/>
      <c r="C222" s="439"/>
      <c r="D222" s="439"/>
      <c r="E222" s="439"/>
      <c r="F222" s="439"/>
      <c r="G222" s="439"/>
      <c r="H222" s="440"/>
    </row>
    <row r="223" customFormat="false" ht="13.5" hidden="false" customHeight="true" outlineLevel="0" collapsed="false">
      <c r="A223" s="435"/>
      <c r="B223" s="439"/>
      <c r="C223" s="439"/>
      <c r="D223" s="439"/>
      <c r="E223" s="439"/>
      <c r="F223" s="439"/>
      <c r="G223" s="439"/>
      <c r="H223" s="440"/>
      <c r="J223" s="417" t="s">
        <v>776</v>
      </c>
      <c r="P223" s="417" t="s">
        <v>777</v>
      </c>
    </row>
    <row r="224" customFormat="false" ht="12.75" hidden="false" customHeight="true" outlineLevel="0" collapsed="false">
      <c r="A224" s="435"/>
      <c r="B224" s="439"/>
      <c r="C224" s="439"/>
      <c r="D224" s="439"/>
      <c r="E224" s="439"/>
      <c r="F224" s="439"/>
      <c r="G224" s="439"/>
      <c r="H224" s="440"/>
    </row>
    <row r="225" customFormat="false" ht="12.75" hidden="false" customHeight="true" outlineLevel="0" collapsed="false">
      <c r="A225" s="455" t="s">
        <v>778</v>
      </c>
      <c r="B225" s="456"/>
      <c r="C225" s="456"/>
      <c r="D225" s="456"/>
      <c r="E225" s="456"/>
      <c r="F225" s="456"/>
      <c r="G225" s="457"/>
      <c r="H225" s="440"/>
    </row>
    <row r="226" customFormat="false" ht="12.75" hidden="false" customHeight="true" outlineLevel="0" collapsed="false">
      <c r="A226" s="435"/>
      <c r="B226" s="439"/>
      <c r="C226" s="439"/>
      <c r="D226" s="439"/>
      <c r="E226" s="439"/>
      <c r="F226" s="439"/>
      <c r="G226" s="439"/>
      <c r="H226" s="440"/>
    </row>
    <row r="227" customFormat="false" ht="12.75" hidden="false" customHeight="true" outlineLevel="0" collapsed="false">
      <c r="A227" s="422" t="s">
        <v>80</v>
      </c>
      <c r="B227" s="422" t="n">
        <v>2005</v>
      </c>
      <c r="C227" s="422" t="n">
        <v>2006</v>
      </c>
      <c r="D227" s="422" t="n">
        <v>2007</v>
      </c>
      <c r="E227" s="422" t="n">
        <v>2008</v>
      </c>
      <c r="F227" s="422" t="n">
        <v>2009</v>
      </c>
      <c r="G227" s="422" t="n">
        <v>2010</v>
      </c>
      <c r="H227" s="422" t="s">
        <v>582</v>
      </c>
    </row>
    <row r="228" customFormat="false" ht="12.75" hidden="false" customHeight="true" outlineLevel="0" collapsed="false">
      <c r="A228" s="458" t="s">
        <v>779</v>
      </c>
      <c r="B228" s="424" t="n">
        <f aca="false">'10. VEHICLES PROPIS'!D52+'10. VEHICLES PROPIS'!D53+'10. VEHICLES PROPIS'!D54+'10. VEHICLES PROPIS'!D55+'10. VEHICLES PROPIS'!D68+'10. VEHICLES PROPIS'!D102+'10. VEHICLES PROPIS'!D103</f>
        <v>140002.685</v>
      </c>
      <c r="C228" s="424" t="n">
        <f aca="false">'10. VEHICLES PROPIS'!E52+'10. VEHICLES PROPIS'!E53+'10. VEHICLES PROPIS'!E54+'10. VEHICLES PROPIS'!E55+'10. VEHICLES PROPIS'!E68+'10. VEHICLES PROPIS'!E102+'10. VEHICLES PROPIS'!E103</f>
        <v>180646.53</v>
      </c>
      <c r="D228" s="424" t="n">
        <f aca="false">'10. VEHICLES PROPIS'!F52+'10. VEHICLES PROPIS'!F53+'10. VEHICLES PROPIS'!F54+'10. VEHICLES PROPIS'!F55+'10. VEHICLES PROPIS'!F68+'10. VEHICLES PROPIS'!F102+'10. VEHICLES PROPIS'!F103</f>
        <v>180646.53</v>
      </c>
      <c r="E228" s="424" t="n">
        <f aca="false">'10. VEHICLES PROPIS'!G52+'10. VEHICLES PROPIS'!G53+'10. VEHICLES PROPIS'!G54+'10. VEHICLES PROPIS'!G55+'10. VEHICLES PROPIS'!G68+'10. VEHICLES PROPIS'!G102+'10. VEHICLES PROPIS'!G103</f>
        <v>180646.53</v>
      </c>
      <c r="F228" s="424" t="n">
        <f aca="false">'10. VEHICLES PROPIS'!H52+'10. VEHICLES PROPIS'!H53+'10. VEHICLES PROPIS'!H54+'10. VEHICLES PROPIS'!H55+'10. VEHICLES PROPIS'!H68+'10. VEHICLES PROPIS'!H102+'10. VEHICLES PROPIS'!H103</f>
        <v>180646.53</v>
      </c>
      <c r="G228" s="424" t="n">
        <f aca="false">'10. VEHICLES PROPIS'!I52+'10. VEHICLES PROPIS'!I53+'10. VEHICLES PROPIS'!I54+'10. VEHICLES PROPIS'!I55+'10. VEHICLES PROPIS'!I68+'10. VEHICLES PROPIS'!I102+'10. VEHICLES PROPIS'!I103</f>
        <v>180646.53</v>
      </c>
      <c r="H228" s="425" t="n">
        <f aca="false">(F228-B228)/F228</f>
        <v>0.224991008684197</v>
      </c>
    </row>
    <row r="229" customFormat="false" ht="12.75" hidden="true" customHeight="true" outlineLevel="0" collapsed="false">
      <c r="A229" s="458" t="s">
        <v>780</v>
      </c>
      <c r="B229" s="424" t="s">
        <v>86</v>
      </c>
      <c r="C229" s="424" t="s">
        <v>86</v>
      </c>
      <c r="D229" s="424" t="s">
        <v>86</v>
      </c>
      <c r="E229" s="424" t="s">
        <v>86</v>
      </c>
      <c r="F229" s="424" t="s">
        <v>86</v>
      </c>
      <c r="G229" s="424" t="s">
        <v>86</v>
      </c>
      <c r="H229" s="425" t="s">
        <v>86</v>
      </c>
    </row>
    <row r="230" customFormat="false" ht="12.75" hidden="false" customHeight="true" outlineLevel="0" collapsed="false">
      <c r="A230" s="458" t="s">
        <v>781</v>
      </c>
      <c r="B230" s="424" t="n">
        <f aca="false">'10. VEHICLES PROPIS'!D48+'10. VEHICLES PROPIS'!D49+'10. VEHICLES PROPIS'!D50+'10. VEHICLES PROPIS'!D51+'10. VEHICLES PROPIS'!D96+'10. VEHICLES PROPIS'!D97+'10. VEHICLES PROPIS'!D98+'10. VEHICLES PROPIS'!D99+'10. VEHICLES PROPIS'!D100+'10. VEHICLES PROPIS'!D101</f>
        <v>243531.285</v>
      </c>
      <c r="C230" s="424" t="n">
        <f aca="false">'10. VEHICLES PROPIS'!E48+'10. VEHICLES PROPIS'!E49+'10. VEHICLES PROPIS'!E50+'10. VEHICLES PROPIS'!E51+'10. VEHICLES PROPIS'!E96+'10. VEHICLES PROPIS'!E97+'10. VEHICLES PROPIS'!E98+'10. VEHICLES PROPIS'!E99+'10. VEHICLES PROPIS'!E100+'10. VEHICLES PROPIS'!E101</f>
        <v>376215.72</v>
      </c>
      <c r="D230" s="424" t="n">
        <f aca="false">'10. VEHICLES PROPIS'!F48+'10. VEHICLES PROPIS'!F49+'10. VEHICLES PROPIS'!F50+'10. VEHICLES PROPIS'!F51+'10. VEHICLES PROPIS'!F96+'10. VEHICLES PROPIS'!F97+'10. VEHICLES PROPIS'!F98+'10. VEHICLES PROPIS'!F99+'10. VEHICLES PROPIS'!F100+'10. VEHICLES PROPIS'!F101</f>
        <v>376215.72</v>
      </c>
      <c r="E230" s="424" t="n">
        <f aca="false">'10. VEHICLES PROPIS'!G48+'10. VEHICLES PROPIS'!G49+'10. VEHICLES PROPIS'!G50+'10. VEHICLES PROPIS'!G51+'10. VEHICLES PROPIS'!G96+'10. VEHICLES PROPIS'!G97+'10. VEHICLES PROPIS'!G98+'10. VEHICLES PROPIS'!G99+'10. VEHICLES PROPIS'!G100+'10. VEHICLES PROPIS'!G101</f>
        <v>376215.72</v>
      </c>
      <c r="F230" s="424" t="n">
        <f aca="false">'10. VEHICLES PROPIS'!H48+'10. VEHICLES PROPIS'!H49+'10. VEHICLES PROPIS'!H50+'10. VEHICLES PROPIS'!H51+'10. VEHICLES PROPIS'!H96+'10. VEHICLES PROPIS'!H97+'10. VEHICLES PROPIS'!H98+'10. VEHICLES PROPIS'!H99+'10. VEHICLES PROPIS'!H100+'10. VEHICLES PROPIS'!H101</f>
        <v>376215.72</v>
      </c>
      <c r="G230" s="424" t="n">
        <f aca="false">'10. VEHICLES PROPIS'!I48+'10. VEHICLES PROPIS'!I49+'10. VEHICLES PROPIS'!I50+'10. VEHICLES PROPIS'!I51+'10. VEHICLES PROPIS'!I96+'10. VEHICLES PROPIS'!I97+'10. VEHICLES PROPIS'!I98+'10. VEHICLES PROPIS'!I99+'10. VEHICLES PROPIS'!I100+'10. VEHICLES PROPIS'!I101</f>
        <v>413164.67</v>
      </c>
      <c r="H230" s="425" t="n">
        <f aca="false">(F230-B230)/F230</f>
        <v>0.352681793838918</v>
      </c>
    </row>
    <row r="231" customFormat="false" ht="12.75" hidden="false" customHeight="true" outlineLevel="0" collapsed="false">
      <c r="A231" s="458" t="s">
        <v>782</v>
      </c>
      <c r="B231" s="424" t="n">
        <f aca="false">'10. VEHICLES PROPIS'!D65+'10. VEHICLES PROPIS'!D66</f>
        <v>110846.85</v>
      </c>
      <c r="C231" s="424" t="n">
        <f aca="false">'10. VEHICLES PROPIS'!E65+'10. VEHICLES PROPIS'!E66</f>
        <v>110846.85</v>
      </c>
      <c r="D231" s="424" t="n">
        <f aca="false">'10. VEHICLES PROPIS'!F65+'10. VEHICLES PROPIS'!F66</f>
        <v>110846.85</v>
      </c>
      <c r="E231" s="424" t="n">
        <f aca="false">'10. VEHICLES PROPIS'!G65+'10. VEHICLES PROPIS'!G66</f>
        <v>110846.85</v>
      </c>
      <c r="F231" s="424" t="n">
        <f aca="false">'10. VEHICLES PROPIS'!H65+'10. VEHICLES PROPIS'!H66</f>
        <v>110846.85</v>
      </c>
      <c r="G231" s="424" t="n">
        <f aca="false">'10. VEHICLES PROPIS'!I65+'10. VEHICLES PROPIS'!I66</f>
        <v>110846.85</v>
      </c>
      <c r="H231" s="425" t="n">
        <f aca="false">(F231-B231)/F231</f>
        <v>0</v>
      </c>
    </row>
    <row r="232" customFormat="false" ht="12.75" hidden="false" customHeight="true" outlineLevel="0" collapsed="false">
      <c r="A232" s="458" t="s">
        <v>783</v>
      </c>
      <c r="B232" s="424" t="n">
        <f aca="false">'10. VEHICLES PROPIS'!D56+'10. VEHICLES PROPIS'!D57+'10. VEHICLES PROPIS'!D58+'10. VEHICLES PROPIS'!D59+'10. VEHICLES PROPIS'!D62+'10. VEHICLES PROPIS'!D63</f>
        <v>144100.905</v>
      </c>
      <c r="C232" s="424" t="n">
        <f aca="false">'10. VEHICLES PROPIS'!E56+'10. VEHICLES PROPIS'!E57+'10. VEHICLES PROPIS'!E58+'10. VEHICLES PROPIS'!E59+'10. VEHICLES PROPIS'!E62+'10. VEHICLES PROPIS'!E63</f>
        <v>184744.75</v>
      </c>
      <c r="D232" s="424" t="n">
        <f aca="false">'10. VEHICLES PROPIS'!F56+'10. VEHICLES PROPIS'!F57+'10. VEHICLES PROPIS'!F58+'10. VEHICLES PROPIS'!F59+'10. VEHICLES PROPIS'!F62+'10. VEHICLES PROPIS'!F63</f>
        <v>184744.75</v>
      </c>
      <c r="E232" s="424" t="n">
        <f aca="false">'10. VEHICLES PROPIS'!G56+'10. VEHICLES PROPIS'!G57+'10. VEHICLES PROPIS'!G58+'10. VEHICLES PROPIS'!G59+'10. VEHICLES PROPIS'!G62+'10. VEHICLES PROPIS'!G63</f>
        <v>184744.75</v>
      </c>
      <c r="F232" s="424" t="n">
        <f aca="false">'10. VEHICLES PROPIS'!H56+'10. VEHICLES PROPIS'!H57+'10. VEHICLES PROPIS'!H58+'10. VEHICLES PROPIS'!H59+'10. VEHICLES PROPIS'!H62+'10. VEHICLES PROPIS'!H63</f>
        <v>184744.75</v>
      </c>
      <c r="G232" s="424" t="n">
        <f aca="false">'10. VEHICLES PROPIS'!I56+'10. VEHICLES PROPIS'!I57+'10. VEHICLES PROPIS'!I58+'10. VEHICLES PROPIS'!I59+'10. VEHICLES PROPIS'!I62+'10. VEHICLES PROPIS'!I63</f>
        <v>184744.75</v>
      </c>
      <c r="H232" s="425" t="n">
        <f aca="false">(F232-B232)/F232</f>
        <v>0.22</v>
      </c>
    </row>
    <row r="233" customFormat="false" ht="12.75" hidden="false" customHeight="true" outlineLevel="0" collapsed="false">
      <c r="A233" s="458" t="s">
        <v>247</v>
      </c>
      <c r="B233" s="424" t="n">
        <f aca="false">'10. VEHICLES PROPIS'!D60+'10. VEHICLES PROPIS'!D61+'10. VEHICLES PROPIS'!D64+'10. VEHICLES PROPIS'!D67+'10. VEHICLES PROPIS'!D69+'10. VEHICLES PROPIS'!D70+'10. VEHICLES PROPIS'!D71+'10. VEHICLES PROPIS'!D104+'10. VEHICLES PROPIS'!D105</f>
        <v>159648.08</v>
      </c>
      <c r="C233" s="424" t="n">
        <f aca="false">'10. VEHICLES PROPIS'!E60+'10. VEHICLES PROPIS'!E61+'10. VEHICLES PROPIS'!E64+'10. VEHICLES PROPIS'!E67+'10. VEHICLES PROPIS'!E69+'10. VEHICLES PROPIS'!E70+'10. VEHICLES PROPIS'!E71+'10. VEHICLES PROPIS'!E104+'10. VEHICLES PROPIS'!E105</f>
        <v>252020.455</v>
      </c>
      <c r="D233" s="424" t="n">
        <f aca="false">'10. VEHICLES PROPIS'!F60+'10. VEHICLES PROPIS'!F61+'10. VEHICLES PROPIS'!F64+'10. VEHICLES PROPIS'!F67+'10. VEHICLES PROPIS'!F69+'10. VEHICLES PROPIS'!F70+'10. VEHICLES PROPIS'!F71+'10. VEHICLES PROPIS'!F104+'10. VEHICLES PROPIS'!F105</f>
        <v>252020.455</v>
      </c>
      <c r="E233" s="424" t="n">
        <f aca="false">'10. VEHICLES PROPIS'!G60+'10. VEHICLES PROPIS'!G61+'10. VEHICLES PROPIS'!G64+'10. VEHICLES PROPIS'!G67+'10. VEHICLES PROPIS'!G69+'10. VEHICLES PROPIS'!G70+'10. VEHICLES PROPIS'!G71+'10. VEHICLES PROPIS'!G104+'10. VEHICLES PROPIS'!G105</f>
        <v>252020.455</v>
      </c>
      <c r="F233" s="424" t="n">
        <f aca="false">'10. VEHICLES PROPIS'!H60+'10. VEHICLES PROPIS'!H61+'10. VEHICLES PROPIS'!H64+'10. VEHICLES PROPIS'!H67+'10. VEHICLES PROPIS'!H69+'10. VEHICLES PROPIS'!H70+'10. VEHICLES PROPIS'!H71+'10. VEHICLES PROPIS'!H104+'10. VEHICLES PROPIS'!H105</f>
        <v>252020.455</v>
      </c>
      <c r="G233" s="424" t="n">
        <f aca="false">'10. VEHICLES PROPIS'!I60+'10. VEHICLES PROPIS'!I61+'10. VEHICLES PROPIS'!I64+'10. VEHICLES PROPIS'!I67+'10. VEHICLES PROPIS'!I69+'10. VEHICLES PROPIS'!I70+'10. VEHICLES PROPIS'!I71+'10. VEHICLES PROPIS'!I104+'10. VEHICLES PROPIS'!I105</f>
        <v>252020.455</v>
      </c>
      <c r="H233" s="425" t="n">
        <f aca="false">(F233-B233)/F233</f>
        <v>0.366527292397754</v>
      </c>
    </row>
    <row r="234" customFormat="false" ht="12.75" hidden="false" customHeight="true" outlineLevel="0" collapsed="false">
      <c r="A234" s="428" t="s">
        <v>272</v>
      </c>
      <c r="B234" s="429" t="n">
        <f aca="false">SUM(B228:B233)</f>
        <v>798129.805</v>
      </c>
      <c r="C234" s="429" t="n">
        <f aca="false">SUM(C228:C233)</f>
        <v>1104474.305</v>
      </c>
      <c r="D234" s="429" t="n">
        <f aca="false">SUM(D228:D233)</f>
        <v>1104474.305</v>
      </c>
      <c r="E234" s="429" t="n">
        <f aca="false">SUM(E228:E233)</f>
        <v>1104474.305</v>
      </c>
      <c r="F234" s="429" t="n">
        <f aca="false">SUM(F228:F233)</f>
        <v>1104474.305</v>
      </c>
      <c r="G234" s="429" t="n">
        <f aca="false">SUM(G228:G233)</f>
        <v>1141423.255</v>
      </c>
      <c r="H234" s="430" t="n">
        <f aca="false">(F234-B234)/F234</f>
        <v>0.277366796686139</v>
      </c>
    </row>
    <row r="235" customFormat="false" ht="12" hidden="false" customHeight="true" outlineLevel="0" collapsed="false">
      <c r="A235" s="435"/>
      <c r="B235" s="439"/>
      <c r="C235" s="439"/>
      <c r="D235" s="439"/>
      <c r="E235" s="439"/>
      <c r="F235" s="439"/>
      <c r="G235" s="439"/>
      <c r="H235" s="440"/>
    </row>
    <row r="236" customFormat="false" ht="12" hidden="false" customHeight="true" outlineLevel="0" collapsed="false">
      <c r="A236" s="454" t="s">
        <v>775</v>
      </c>
      <c r="B236" s="439"/>
      <c r="C236" s="439"/>
      <c r="D236" s="439"/>
      <c r="E236" s="439"/>
      <c r="F236" s="439"/>
      <c r="G236" s="439"/>
      <c r="H236" s="440"/>
    </row>
    <row r="237" customFormat="false" ht="12" hidden="false" customHeight="true" outlineLevel="0" collapsed="false">
      <c r="A237" s="435"/>
      <c r="B237" s="439"/>
      <c r="C237" s="439"/>
      <c r="D237" s="439"/>
      <c r="E237" s="439"/>
      <c r="F237" s="439"/>
      <c r="G237" s="439"/>
      <c r="H237" s="440"/>
    </row>
    <row r="238" customFormat="false" ht="12" hidden="false" customHeight="true" outlineLevel="0" collapsed="false">
      <c r="A238" s="435"/>
      <c r="B238" s="439"/>
      <c r="C238" s="439"/>
      <c r="D238" s="439"/>
      <c r="E238" s="439"/>
      <c r="F238" s="439"/>
      <c r="G238" s="439"/>
      <c r="H238" s="440"/>
    </row>
    <row r="239" customFormat="false" ht="12" hidden="false" customHeight="true" outlineLevel="0" collapsed="false">
      <c r="A239" s="435"/>
      <c r="B239" s="439"/>
      <c r="C239" s="439"/>
      <c r="D239" s="439"/>
      <c r="E239" s="439"/>
      <c r="F239" s="439"/>
      <c r="G239" s="439"/>
      <c r="H239" s="440"/>
    </row>
    <row r="240" customFormat="false" ht="12" hidden="false" customHeight="true" outlineLevel="0" collapsed="false">
      <c r="A240" s="435"/>
      <c r="B240" s="439"/>
      <c r="C240" s="439"/>
      <c r="D240" s="439"/>
      <c r="E240" s="439"/>
      <c r="F240" s="439"/>
      <c r="G240" s="439"/>
      <c r="H240" s="440"/>
    </row>
    <row r="241" customFormat="false" ht="12" hidden="false" customHeight="true" outlineLevel="0" collapsed="false">
      <c r="A241" s="435"/>
      <c r="B241" s="439"/>
      <c r="C241" s="439"/>
      <c r="D241" s="439"/>
      <c r="E241" s="439"/>
      <c r="F241" s="439"/>
      <c r="G241" s="439"/>
      <c r="H241" s="440"/>
    </row>
    <row r="242" customFormat="false" ht="12" hidden="false" customHeight="true" outlineLevel="0" collapsed="false">
      <c r="A242" s="435"/>
      <c r="B242" s="439"/>
      <c r="C242" s="439"/>
      <c r="D242" s="439"/>
      <c r="E242" s="439"/>
      <c r="F242" s="439"/>
      <c r="G242" s="439"/>
      <c r="H242" s="440"/>
      <c r="J242" s="417" t="s">
        <v>784</v>
      </c>
      <c r="P242" s="417" t="s">
        <v>785</v>
      </c>
    </row>
    <row r="243" customFormat="false" ht="12" hidden="false" customHeight="true" outlineLevel="0" collapsed="false">
      <c r="A243" s="435"/>
      <c r="B243" s="439"/>
      <c r="C243" s="439"/>
      <c r="D243" s="439"/>
      <c r="E243" s="439"/>
      <c r="F243" s="439"/>
      <c r="G243" s="439"/>
      <c r="H243" s="440"/>
    </row>
    <row r="244" customFormat="false" ht="12" hidden="false" customHeight="true" outlineLevel="0" collapsed="false">
      <c r="A244" s="433" t="s">
        <v>786</v>
      </c>
      <c r="B244" s="439"/>
      <c r="C244" s="439"/>
      <c r="D244" s="439"/>
      <c r="E244" s="439"/>
      <c r="F244" s="439"/>
      <c r="G244" s="439"/>
      <c r="H244" s="440"/>
    </row>
    <row r="245" customFormat="false" ht="12" hidden="false" customHeight="true" outlineLevel="0" collapsed="false">
      <c r="A245" s="435"/>
      <c r="B245" s="439"/>
      <c r="C245" s="439"/>
      <c r="D245" s="439"/>
      <c r="E245" s="439"/>
      <c r="F245" s="439"/>
      <c r="G245" s="439"/>
      <c r="H245" s="440"/>
    </row>
    <row r="246" customFormat="false" ht="12" hidden="false" customHeight="true" outlineLevel="0" collapsed="false">
      <c r="A246" s="422" t="s">
        <v>80</v>
      </c>
      <c r="B246" s="422" t="n">
        <v>2005</v>
      </c>
      <c r="C246" s="422" t="n">
        <v>2006</v>
      </c>
      <c r="D246" s="422" t="n">
        <v>2007</v>
      </c>
      <c r="E246" s="422" t="n">
        <v>2008</v>
      </c>
      <c r="F246" s="422" t="n">
        <v>2009</v>
      </c>
      <c r="G246" s="422" t="n">
        <v>2010</v>
      </c>
      <c r="H246" s="422" t="s">
        <v>582</v>
      </c>
      <c r="I246" s="459"/>
      <c r="J246" s="459"/>
      <c r="K246" s="459"/>
    </row>
    <row r="247" customFormat="false" ht="12" hidden="false" customHeight="true" outlineLevel="0" collapsed="false">
      <c r="A247" s="458" t="s">
        <v>779</v>
      </c>
      <c r="B247" s="424" t="n">
        <f aca="false">(('10. VEHICLES PROPIS'!D52+'10. VEHICLES PROPIS'!D53+'10. VEHICLES PROPIS'!D54+'10. VEHICLES PROPIS'!D55+'10. VEHICLES PROPIS'!D68)*B$10+('10. VEHICLES PROPIS'!D102+'10. VEHICLES PROPIS'!D103)*B$11)/1000</f>
        <v>36.523371315</v>
      </c>
      <c r="C247" s="424" t="n">
        <f aca="false">(('10. VEHICLES PROPIS'!E52+'10. VEHICLES PROPIS'!E53+'10. VEHICLES PROPIS'!E54+'10. VEHICLES PROPIS'!E55+'10. VEHICLES PROPIS'!E68)*C$10+('10. VEHICLES PROPIS'!E102+'10. VEHICLES PROPIS'!E103)*C$11)/1000</f>
        <v>47.37527793</v>
      </c>
      <c r="D247" s="424" t="n">
        <f aca="false">(('10. VEHICLES PROPIS'!F52+'10. VEHICLES PROPIS'!F53+'10. VEHICLES PROPIS'!F54+'10. VEHICLES PROPIS'!F55+'10. VEHICLES PROPIS'!F68)*D$10+('10. VEHICLES PROPIS'!F102+'10. VEHICLES PROPIS'!F103)*D$11)/1000</f>
        <v>47.37527793</v>
      </c>
      <c r="E247" s="424" t="n">
        <f aca="false">(('10. VEHICLES PROPIS'!G52+'10. VEHICLES PROPIS'!G53+'10. VEHICLES PROPIS'!G54+'10. VEHICLES PROPIS'!G55+'10. VEHICLES PROPIS'!G68)*E$10+('10. VEHICLES PROPIS'!G102+'10. VEHICLES PROPIS'!G103)*E$11)/1000</f>
        <v>47.37527793</v>
      </c>
      <c r="F247" s="424" t="n">
        <f aca="false">(('10. VEHICLES PROPIS'!H52+'10. VEHICLES PROPIS'!H53+'10. VEHICLES PROPIS'!H54+'10. VEHICLES PROPIS'!H55+'10. VEHICLES PROPIS'!H68)*F$10+('10. VEHICLES PROPIS'!H102+'10. VEHICLES PROPIS'!H103)*F$11)/1000</f>
        <v>47.37527793</v>
      </c>
      <c r="G247" s="424" t="n">
        <f aca="false">(('10. VEHICLES PROPIS'!I52+'10. VEHICLES PROPIS'!I53+'10. VEHICLES PROPIS'!I54+'10. VEHICLES PROPIS'!I55+'10. VEHICLES PROPIS'!I68)*G$10+('10. VEHICLES PROPIS'!I102+'10. VEHICLES PROPIS'!I103)*G$11)/1000</f>
        <v>47.37527793</v>
      </c>
      <c r="H247" s="425" t="n">
        <f aca="false">(F247-B247)/B247</f>
        <v>0.297122259645926</v>
      </c>
      <c r="I247" s="460"/>
      <c r="J247" s="460"/>
      <c r="K247" s="460"/>
    </row>
    <row r="248" customFormat="false" ht="12" hidden="true" customHeight="true" outlineLevel="0" collapsed="false">
      <c r="A248" s="458" t="s">
        <v>780</v>
      </c>
      <c r="B248" s="424"/>
      <c r="C248" s="424"/>
      <c r="D248" s="424"/>
      <c r="E248" s="424"/>
      <c r="F248" s="424"/>
      <c r="G248" s="424"/>
      <c r="H248" s="425" t="s">
        <v>86</v>
      </c>
    </row>
    <row r="249" customFormat="false" ht="12" hidden="false" customHeight="true" outlineLevel="0" collapsed="false">
      <c r="A249" s="458" t="s">
        <v>781</v>
      </c>
      <c r="B249" s="424" t="n">
        <f aca="false">(('10. VEHICLES PROPIS'!D48+'10. VEHICLES PROPIS'!D49+'10. VEHICLES PROPIS'!D50+'10. VEHICLES PROPIS'!D51)*B$10+('10. VEHICLES PROPIS'!D96+'10. VEHICLES PROPIS'!D97+'10. VEHICLES PROPIS'!D98+'10. VEHICLES PROPIS'!D99+'10. VEHICLES PROPIS'!D100+'10. VEHICLES PROPIS'!D101)*B$11)/1000</f>
        <v>62.634533265</v>
      </c>
      <c r="C249" s="424" t="n">
        <f aca="false">(('10. VEHICLES PROPIS'!E48+'10. VEHICLES PROPIS'!E49+'10. VEHICLES PROPIS'!E50+'10. VEHICLES PROPIS'!E51)*C$10+('10. VEHICLES PROPIS'!E96+'10. VEHICLES PROPIS'!E97+'10. VEHICLES PROPIS'!E98+'10. VEHICLES PROPIS'!E99+'10. VEHICLES PROPIS'!E100+'10. VEHICLES PROPIS'!E101)*C$11)/1000</f>
        <v>95.67295758</v>
      </c>
      <c r="D249" s="424" t="n">
        <f aca="false">(('10. VEHICLES PROPIS'!F48+'10. VEHICLES PROPIS'!F49+'10. VEHICLES PROPIS'!F50+'10. VEHICLES PROPIS'!F51)*D$10+('10. VEHICLES PROPIS'!F96+'10. VEHICLES PROPIS'!F97+'10. VEHICLES PROPIS'!F98+'10. VEHICLES PROPIS'!F99+'10. VEHICLES PROPIS'!F100+'10. VEHICLES PROPIS'!F101)*D$11)/1000</f>
        <v>95.67295758</v>
      </c>
      <c r="E249" s="424" t="n">
        <f aca="false">(('10. VEHICLES PROPIS'!G48+'10. VEHICLES PROPIS'!G49+'10. VEHICLES PROPIS'!G50+'10. VEHICLES PROPIS'!G51)*E$10+('10. VEHICLES PROPIS'!G96+'10. VEHICLES PROPIS'!G97+'10. VEHICLES PROPIS'!G98+'10. VEHICLES PROPIS'!G99+'10. VEHICLES PROPIS'!G100+'10. VEHICLES PROPIS'!G101)*E$11)/1000</f>
        <v>95.67295758</v>
      </c>
      <c r="F249" s="424" t="n">
        <f aca="false">(('10. VEHICLES PROPIS'!H48+'10. VEHICLES PROPIS'!H49+'10. VEHICLES PROPIS'!H50+'10. VEHICLES PROPIS'!H51)*F$10+('10. VEHICLES PROPIS'!H96+'10. VEHICLES PROPIS'!H97+'10. VEHICLES PROPIS'!H98+'10. VEHICLES PROPIS'!H99+'10. VEHICLES PROPIS'!H100+'10. VEHICLES PROPIS'!H101)*F$11)/1000</f>
        <v>95.67295758</v>
      </c>
      <c r="G249" s="424" t="n">
        <f aca="false">(('10. VEHICLES PROPIS'!I48+'10. VEHICLES PROPIS'!I49+'10. VEHICLES PROPIS'!I50+'10. VEHICLES PROPIS'!I51)*G$10+('10. VEHICLES PROPIS'!I96+'10. VEHICLES PROPIS'!I97+'10. VEHICLES PROPIS'!I98+'10. VEHICLES PROPIS'!I99+'10. VEHICLES PROPIS'!I100+'10. VEHICLES PROPIS'!I101)*G$11)/1000</f>
        <v>105.53832723</v>
      </c>
      <c r="H249" s="425" t="n">
        <f aca="false">(F249-B249)/B249</f>
        <v>0.527479372684362</v>
      </c>
    </row>
    <row r="250" customFormat="false" ht="12" hidden="false" customHeight="true" outlineLevel="0" collapsed="false">
      <c r="A250" s="458" t="s">
        <v>782</v>
      </c>
      <c r="B250" s="424" t="n">
        <f aca="false">('10. VEHICLES PROPIS'!D65+'10. VEHICLES PROPIS'!D66)*B$10/1000</f>
        <v>29.59610895</v>
      </c>
      <c r="C250" s="424" t="n">
        <f aca="false">('10. VEHICLES PROPIS'!E65+'10. VEHICLES PROPIS'!E66)*C$10/1000</f>
        <v>29.59610895</v>
      </c>
      <c r="D250" s="424" t="n">
        <f aca="false">('10. VEHICLES PROPIS'!F65+'10. VEHICLES PROPIS'!F66)*D$10/1000</f>
        <v>29.59610895</v>
      </c>
      <c r="E250" s="424" t="n">
        <f aca="false">('10. VEHICLES PROPIS'!G65+'10. VEHICLES PROPIS'!G66)*E$10/1000</f>
        <v>29.59610895</v>
      </c>
      <c r="F250" s="424" t="n">
        <f aca="false">('10. VEHICLES PROPIS'!H65+'10. VEHICLES PROPIS'!H66)*F$10/1000</f>
        <v>29.59610895</v>
      </c>
      <c r="G250" s="424" t="n">
        <f aca="false">('10. VEHICLES PROPIS'!I65+'10. VEHICLES PROPIS'!I66)*G$10/1000</f>
        <v>29.59610895</v>
      </c>
      <c r="H250" s="425" t="n">
        <f aca="false">(F250-B250)/B250</f>
        <v>0</v>
      </c>
    </row>
    <row r="251" customFormat="false" ht="12" hidden="false" customHeight="true" outlineLevel="0" collapsed="false">
      <c r="A251" s="458" t="s">
        <v>783</v>
      </c>
      <c r="B251" s="424" t="n">
        <f aca="false">(('10. VEHICLES PROPIS'!D56+'10. VEHICLES PROPIS'!D57+'10. VEHICLES PROPIS'!D58+'10. VEHICLES PROPIS'!D59+'10. VEHICLES PROPIS'!D62+'10. VEHICLES PROPIS'!D63)*B$10/1000)</f>
        <v>38.474941635</v>
      </c>
      <c r="C251" s="424" t="n">
        <f aca="false">(('10. VEHICLES PROPIS'!E56+'10. VEHICLES PROPIS'!E57+'10. VEHICLES PROPIS'!E58+'10. VEHICLES PROPIS'!E59+'10. VEHICLES PROPIS'!E62+'10. VEHICLES PROPIS'!E63)*C$10/1000)</f>
        <v>49.32684825</v>
      </c>
      <c r="D251" s="424" t="n">
        <f aca="false">(('10. VEHICLES PROPIS'!F56+'10. VEHICLES PROPIS'!F57+'10. VEHICLES PROPIS'!F58+'10. VEHICLES PROPIS'!F59+'10. VEHICLES PROPIS'!F62+'10. VEHICLES PROPIS'!F63)*D$10/1000)</f>
        <v>49.32684825</v>
      </c>
      <c r="E251" s="424" t="n">
        <f aca="false">(('10. VEHICLES PROPIS'!G56+'10. VEHICLES PROPIS'!G57+'10. VEHICLES PROPIS'!G58+'10. VEHICLES PROPIS'!G59+'10. VEHICLES PROPIS'!G62+'10. VEHICLES PROPIS'!G63)*E$10/1000)</f>
        <v>49.32684825</v>
      </c>
      <c r="F251" s="424" t="n">
        <f aca="false">(('10. VEHICLES PROPIS'!H56+'10. VEHICLES PROPIS'!H57+'10. VEHICLES PROPIS'!H58+'10. VEHICLES PROPIS'!H59+'10. VEHICLES PROPIS'!H62+'10. VEHICLES PROPIS'!H63)*F$10/1000)</f>
        <v>49.32684825</v>
      </c>
      <c r="G251" s="424" t="n">
        <f aca="false">(('10. VEHICLES PROPIS'!I56+'10. VEHICLES PROPIS'!I57+'10. VEHICLES PROPIS'!I58+'10. VEHICLES PROPIS'!I59+'10. VEHICLES PROPIS'!I62+'10. VEHICLES PROPIS'!I63)*G$10/1000)</f>
        <v>49.32684825</v>
      </c>
      <c r="H251" s="425" t="n">
        <f aca="false">(F251-B251)/B251</f>
        <v>0.282051282051282</v>
      </c>
    </row>
    <row r="252" customFormat="false" ht="13.5" hidden="false" customHeight="false" outlineLevel="0" collapsed="false">
      <c r="A252" s="458" t="s">
        <v>247</v>
      </c>
      <c r="B252" s="424" t="n">
        <f aca="false">(('10. VEHICLES PROPIS'!D60+'10. VEHICLES PROPIS'!D61+'10. VEHICLES PROPIS'!D64+'10. VEHICLES PROPIS'!D67+'10. VEHICLES PROPIS'!D69+'10. VEHICLES PROPIS'!D70+'10. VEHICLES PROPIS'!D71)*B$10+('10. VEHICLES PROPIS'!D104+'10. VEHICLES PROPIS'!D105)*B$11)/1000</f>
        <v>42.01364766</v>
      </c>
      <c r="C252" s="424" t="n">
        <f aca="false">(('10. VEHICLES PROPIS'!E60+'10. VEHICLES PROPIS'!E61+'10. VEHICLES PROPIS'!E64+'10. VEHICLES PROPIS'!E67+'10. VEHICLES PROPIS'!E69+'10. VEHICLES PROPIS'!E70+'10. VEHICLES PROPIS'!E71)*C$10+('10. VEHICLES PROPIS'!E104+'10. VEHICLES PROPIS'!E105)*C$11)/1000</f>
        <v>66.677071785</v>
      </c>
      <c r="D252" s="424" t="n">
        <f aca="false">(('10. VEHICLES PROPIS'!F60+'10. VEHICLES PROPIS'!F61+'10. VEHICLES PROPIS'!F64+'10. VEHICLES PROPIS'!F67+'10. VEHICLES PROPIS'!F69+'10. VEHICLES PROPIS'!F70+'10. VEHICLES PROPIS'!F71)*D$10+('10. VEHICLES PROPIS'!F104+'10. VEHICLES PROPIS'!F105)*D$11)/1000</f>
        <v>66.677071785</v>
      </c>
      <c r="E252" s="424" t="n">
        <f aca="false">(('10. VEHICLES PROPIS'!G60+'10. VEHICLES PROPIS'!G61+'10. VEHICLES PROPIS'!G64+'10. VEHICLES PROPIS'!G67+'10. VEHICLES PROPIS'!G69+'10. VEHICLES PROPIS'!G70+'10. VEHICLES PROPIS'!G71)*E$10+('10. VEHICLES PROPIS'!G104+'10. VEHICLES PROPIS'!G105)*E$11)/1000</f>
        <v>66.677071785</v>
      </c>
      <c r="F252" s="424" t="n">
        <f aca="false">(('10. VEHICLES PROPIS'!H60+'10. VEHICLES PROPIS'!H61+'10. VEHICLES PROPIS'!H64+'10. VEHICLES PROPIS'!H67+'10. VEHICLES PROPIS'!H69+'10. VEHICLES PROPIS'!H70+'10. VEHICLES PROPIS'!H71)*F$10+('10. VEHICLES PROPIS'!H104+'10. VEHICLES PROPIS'!H105)*F$11)/1000</f>
        <v>66.677071785</v>
      </c>
      <c r="G252" s="424" t="n">
        <f aca="false">(('10. VEHICLES PROPIS'!I60+'10. VEHICLES PROPIS'!I61+'10. VEHICLES PROPIS'!I64+'10. VEHICLES PROPIS'!I67+'10. VEHICLES PROPIS'!I69+'10. VEHICLES PROPIS'!I70+'10. VEHICLES PROPIS'!I71)*G$10+('10. VEHICLES PROPIS'!I104+'10. VEHICLES PROPIS'!I105)*G$11)/1000</f>
        <v>66.677071785</v>
      </c>
      <c r="H252" s="425" t="n">
        <f aca="false">(F252-B252)/B252</f>
        <v>0.587033630704752</v>
      </c>
      <c r="I252" s="461"/>
      <c r="J252" s="461"/>
      <c r="K252" s="461"/>
    </row>
    <row r="253" customFormat="false" ht="12" hidden="false" customHeight="true" outlineLevel="0" collapsed="false">
      <c r="A253" s="428" t="s">
        <v>272</v>
      </c>
      <c r="B253" s="429" t="n">
        <f aca="false">SUM(B247:B252)</f>
        <v>209.242602825</v>
      </c>
      <c r="C253" s="429" t="n">
        <f aca="false">SUM(C247:C252)</f>
        <v>288.648264495</v>
      </c>
      <c r="D253" s="429" t="n">
        <f aca="false">SUM(D247:D252)</f>
        <v>288.648264495</v>
      </c>
      <c r="E253" s="429" t="n">
        <f aca="false">SUM(E247:E252)</f>
        <v>288.648264495</v>
      </c>
      <c r="F253" s="429" t="n">
        <f aca="false">SUM(F247:F252)</f>
        <v>288.648264495</v>
      </c>
      <c r="G253" s="429" t="n">
        <f aca="false">SUM(G247:G252)</f>
        <v>298.513634145</v>
      </c>
      <c r="H253" s="425" t="n">
        <f aca="false">(F253-B253)/B253</f>
        <v>0.379490890468472</v>
      </c>
      <c r="I253" s="462"/>
      <c r="J253" s="462"/>
      <c r="K253" s="462"/>
    </row>
    <row r="254" customFormat="false" ht="12" hidden="false" customHeight="true" outlineLevel="0" collapsed="false">
      <c r="A254" s="435"/>
      <c r="B254" s="439"/>
      <c r="C254" s="439"/>
      <c r="D254" s="439"/>
      <c r="E254" s="439"/>
      <c r="F254" s="439"/>
      <c r="G254" s="439"/>
      <c r="H254" s="440"/>
      <c r="I254" s="462"/>
      <c r="J254" s="462"/>
      <c r="K254" s="462"/>
    </row>
    <row r="255" customFormat="false" ht="12" hidden="false" customHeight="true" outlineLevel="0" collapsed="false">
      <c r="A255" s="454" t="s">
        <v>775</v>
      </c>
      <c r="B255" s="439"/>
      <c r="C255" s="439"/>
      <c r="D255" s="439"/>
      <c r="E255" s="439"/>
      <c r="F255" s="439"/>
      <c r="G255" s="439"/>
      <c r="H255" s="440"/>
      <c r="I255" s="462"/>
      <c r="J255" s="462"/>
      <c r="K255" s="462"/>
    </row>
    <row r="256" customFormat="false" ht="12" hidden="false" customHeight="true" outlineLevel="0" collapsed="false">
      <c r="A256" s="435"/>
      <c r="B256" s="439"/>
      <c r="C256" s="439"/>
      <c r="D256" s="439"/>
      <c r="E256" s="439"/>
      <c r="F256" s="439"/>
      <c r="G256" s="439"/>
      <c r="H256" s="440"/>
      <c r="I256" s="462"/>
      <c r="J256" s="462"/>
      <c r="K256" s="462"/>
    </row>
    <row r="257" customFormat="false" ht="12" hidden="false" customHeight="true" outlineLevel="0" collapsed="false">
      <c r="A257" s="435"/>
      <c r="B257" s="439"/>
      <c r="C257" s="439"/>
      <c r="D257" s="439"/>
      <c r="E257" s="439"/>
      <c r="F257" s="439"/>
      <c r="G257" s="439"/>
      <c r="H257" s="440"/>
      <c r="I257" s="462"/>
      <c r="J257" s="462"/>
      <c r="K257" s="462"/>
    </row>
    <row r="258" customFormat="false" ht="12" hidden="false" customHeight="true" outlineLevel="0" collapsed="false">
      <c r="A258" s="435"/>
      <c r="B258" s="439"/>
      <c r="C258" s="439"/>
      <c r="D258" s="439"/>
      <c r="E258" s="439"/>
      <c r="F258" s="439"/>
      <c r="G258" s="439"/>
      <c r="H258" s="440"/>
      <c r="I258" s="462"/>
      <c r="J258" s="462"/>
      <c r="K258" s="462"/>
    </row>
    <row r="259" customFormat="false" ht="12" hidden="false" customHeight="true" outlineLevel="0" collapsed="false">
      <c r="A259" s="421" t="s">
        <v>787</v>
      </c>
      <c r="B259" s="439"/>
      <c r="C259" s="439"/>
      <c r="D259" s="439"/>
      <c r="E259" s="439"/>
      <c r="F259" s="439"/>
      <c r="G259" s="439"/>
      <c r="H259" s="440"/>
      <c r="I259" s="462"/>
      <c r="J259" s="462"/>
      <c r="K259" s="462"/>
    </row>
    <row r="260" customFormat="false" ht="12" hidden="false" customHeight="true" outlineLevel="0" collapsed="false">
      <c r="A260" s="435"/>
      <c r="B260" s="439"/>
      <c r="C260" s="439"/>
      <c r="D260" s="439"/>
      <c r="E260" s="439"/>
      <c r="F260" s="439"/>
      <c r="G260" s="439"/>
      <c r="H260" s="440"/>
      <c r="I260" s="460"/>
      <c r="J260" s="417" t="s">
        <v>788</v>
      </c>
      <c r="K260" s="460"/>
      <c r="Q260" s="417" t="s">
        <v>789</v>
      </c>
    </row>
    <row r="261" customFormat="false" ht="12" hidden="false" customHeight="true" outlineLevel="0" collapsed="false">
      <c r="A261" s="422" t="s">
        <v>80</v>
      </c>
      <c r="B261" s="422" t="n">
        <v>2005</v>
      </c>
      <c r="C261" s="422" t="n">
        <v>2006</v>
      </c>
      <c r="D261" s="422" t="n">
        <v>2007</v>
      </c>
      <c r="E261" s="422" t="n">
        <v>2008</v>
      </c>
      <c r="F261" s="422" t="n">
        <v>2009</v>
      </c>
      <c r="G261" s="422" t="n">
        <v>2010</v>
      </c>
      <c r="H261" s="422" t="s">
        <v>582</v>
      </c>
    </row>
    <row r="262" customFormat="false" ht="25.5" hidden="false" customHeight="true" outlineLevel="0" collapsed="false">
      <c r="A262" s="423" t="s">
        <v>790</v>
      </c>
      <c r="B262" s="424" t="n">
        <f aca="false">(SUM('11. VEHICLES EXT.'!D47:D53))</f>
        <v>577010.49385</v>
      </c>
      <c r="C262" s="424" t="n">
        <f aca="false">(SUM('11. VEHICLES EXT.'!E47:E53))</f>
        <v>577010.49385</v>
      </c>
      <c r="D262" s="424" t="n">
        <f aca="false">(SUM('11. VEHICLES EXT.'!F47:F53))</f>
        <v>577010.49385</v>
      </c>
      <c r="E262" s="424" t="n">
        <f aca="false">(SUM('11. VEHICLES EXT.'!G47:G53))</f>
        <v>577010.49385</v>
      </c>
      <c r="F262" s="424" t="n">
        <f aca="false">(SUM('11. VEHICLES EXT.'!H47:H53))</f>
        <v>577010.49385</v>
      </c>
      <c r="G262" s="424" t="n">
        <f aca="false">(SUM('11. VEHICLES EXT.'!I47:I53))</f>
        <v>577010.49385</v>
      </c>
      <c r="H262" s="425" t="n">
        <f aca="false">(F262-B262)/B262</f>
        <v>0</v>
      </c>
      <c r="I262" s="461"/>
      <c r="J262" s="461"/>
      <c r="K262" s="461"/>
    </row>
    <row r="263" customFormat="false" ht="24" hidden="false" customHeight="true" outlineLevel="0" collapsed="false">
      <c r="A263" s="423" t="s">
        <v>791</v>
      </c>
      <c r="B263" s="424" t="n">
        <v>0</v>
      </c>
      <c r="C263" s="424" t="n">
        <v>0</v>
      </c>
      <c r="D263" s="424" t="n">
        <v>0</v>
      </c>
      <c r="E263" s="424" t="n">
        <v>0</v>
      </c>
      <c r="F263" s="424" t="n">
        <v>0</v>
      </c>
      <c r="G263" s="424" t="n">
        <v>0</v>
      </c>
      <c r="H263" s="425" t="n">
        <v>0</v>
      </c>
      <c r="I263" s="462"/>
      <c r="J263" s="462"/>
      <c r="K263" s="462"/>
    </row>
    <row r="264" customFormat="false" ht="24" hidden="false" customHeight="true" outlineLevel="0" collapsed="false">
      <c r="A264" s="423" t="s">
        <v>792</v>
      </c>
      <c r="B264" s="424" t="n">
        <v>0</v>
      </c>
      <c r="C264" s="424" t="n">
        <v>0</v>
      </c>
      <c r="D264" s="424" t="n">
        <v>0</v>
      </c>
      <c r="E264" s="424" t="n">
        <v>0</v>
      </c>
      <c r="F264" s="424" t="n">
        <v>0</v>
      </c>
      <c r="G264" s="424" t="n">
        <v>0</v>
      </c>
      <c r="H264" s="425" t="n">
        <v>0</v>
      </c>
      <c r="I264" s="462"/>
      <c r="J264" s="462"/>
      <c r="K264" s="462"/>
    </row>
    <row r="265" customFormat="false" ht="24" hidden="false" customHeight="true" outlineLevel="0" collapsed="false">
      <c r="A265" s="423" t="s">
        <v>793</v>
      </c>
      <c r="B265" s="424" t="n">
        <v>0</v>
      </c>
      <c r="C265" s="424" t="n">
        <v>0</v>
      </c>
      <c r="D265" s="424" t="n">
        <v>0</v>
      </c>
      <c r="E265" s="424" t="n">
        <v>0</v>
      </c>
      <c r="F265" s="424" t="n">
        <v>0</v>
      </c>
      <c r="G265" s="424" t="n">
        <v>0</v>
      </c>
      <c r="H265" s="425" t="n">
        <v>0</v>
      </c>
      <c r="I265" s="462"/>
      <c r="J265" s="462"/>
      <c r="K265" s="462"/>
    </row>
    <row r="266" customFormat="false" ht="12" hidden="false" customHeight="true" outlineLevel="0" collapsed="false">
      <c r="A266" s="428" t="s">
        <v>272</v>
      </c>
      <c r="B266" s="429" t="n">
        <f aca="false">+B262+B263+B264+B265</f>
        <v>577010.49385</v>
      </c>
      <c r="C266" s="429" t="n">
        <f aca="false">+C262+C263+C264+C265</f>
        <v>577010.49385</v>
      </c>
      <c r="D266" s="429" t="n">
        <f aca="false">+D262+D263+D264+D265</f>
        <v>577010.49385</v>
      </c>
      <c r="E266" s="429" t="n">
        <f aca="false">+E262+E263+E264+E265</f>
        <v>577010.49385</v>
      </c>
      <c r="F266" s="429" t="n">
        <f aca="false">+F262+F263+F264+F265</f>
        <v>577010.49385</v>
      </c>
      <c r="G266" s="429" t="n">
        <f aca="false">+G262+G263+G264+G265</f>
        <v>577010.49385</v>
      </c>
      <c r="H266" s="425" t="n">
        <f aca="false">(F266-B266)/B266</f>
        <v>0</v>
      </c>
      <c r="I266" s="462"/>
      <c r="J266" s="462"/>
      <c r="K266" s="462"/>
    </row>
    <row r="267" customFormat="false" ht="12" hidden="false" customHeight="true" outlineLevel="0" collapsed="false">
      <c r="A267" s="435"/>
      <c r="B267" s="439"/>
      <c r="C267" s="439"/>
      <c r="D267" s="439"/>
      <c r="E267" s="439"/>
      <c r="F267" s="439"/>
      <c r="G267" s="439"/>
      <c r="H267" s="440"/>
      <c r="I267" s="460"/>
      <c r="J267" s="460"/>
      <c r="K267" s="460"/>
    </row>
    <row r="268" customFormat="false" ht="12" hidden="false" customHeight="true" outlineLevel="0" collapsed="false">
      <c r="A268" s="435"/>
      <c r="B268" s="439"/>
      <c r="C268" s="439"/>
      <c r="D268" s="439"/>
      <c r="E268" s="439"/>
      <c r="F268" s="439"/>
      <c r="G268" s="439"/>
      <c r="H268" s="440"/>
      <c r="I268" s="460"/>
      <c r="J268" s="460"/>
      <c r="K268" s="460"/>
    </row>
    <row r="269" customFormat="false" ht="12" hidden="false" customHeight="true" outlineLevel="0" collapsed="false">
      <c r="A269" s="454" t="s">
        <v>775</v>
      </c>
      <c r="B269" s="439"/>
      <c r="C269" s="439"/>
      <c r="D269" s="439"/>
      <c r="E269" s="439"/>
      <c r="F269" s="439"/>
      <c r="G269" s="439"/>
      <c r="H269" s="440"/>
      <c r="I269" s="460"/>
      <c r="J269" s="460"/>
      <c r="K269" s="460"/>
    </row>
    <row r="270" customFormat="false" ht="12" hidden="false" customHeight="true" outlineLevel="0" collapsed="false">
      <c r="A270" s="435"/>
      <c r="B270" s="439"/>
      <c r="C270" s="439"/>
      <c r="D270" s="439"/>
      <c r="E270" s="439"/>
      <c r="F270" s="439"/>
      <c r="G270" s="439"/>
      <c r="H270" s="440"/>
      <c r="I270" s="460"/>
      <c r="J270" s="460"/>
      <c r="K270" s="460"/>
    </row>
    <row r="271" customFormat="false" ht="12" hidden="false" customHeight="true" outlineLevel="0" collapsed="false">
      <c r="A271" s="435"/>
      <c r="B271" s="439"/>
      <c r="C271" s="439"/>
      <c r="D271" s="439"/>
      <c r="E271" s="439"/>
      <c r="F271" s="439"/>
      <c r="G271" s="439"/>
      <c r="H271" s="440"/>
      <c r="I271" s="460"/>
      <c r="J271" s="460"/>
      <c r="K271" s="460"/>
    </row>
    <row r="272" customFormat="false" ht="12" hidden="false" customHeight="true" outlineLevel="0" collapsed="false">
      <c r="A272" s="435"/>
      <c r="B272" s="439"/>
      <c r="C272" s="439"/>
      <c r="D272" s="439"/>
      <c r="E272" s="439"/>
      <c r="F272" s="439"/>
      <c r="G272" s="439"/>
      <c r="H272" s="440"/>
      <c r="I272" s="460"/>
      <c r="J272" s="460"/>
      <c r="K272" s="460"/>
    </row>
    <row r="273" customFormat="false" ht="12" hidden="false" customHeight="true" outlineLevel="0" collapsed="false">
      <c r="A273" s="433" t="s">
        <v>794</v>
      </c>
      <c r="B273" s="439"/>
      <c r="C273" s="439"/>
      <c r="D273" s="439"/>
      <c r="E273" s="439"/>
      <c r="F273" s="439"/>
      <c r="G273" s="439"/>
      <c r="H273" s="440"/>
    </row>
    <row r="274" customFormat="false" ht="12" hidden="false" customHeight="true" outlineLevel="0" collapsed="false">
      <c r="A274" s="435"/>
      <c r="B274" s="439"/>
      <c r="C274" s="439"/>
      <c r="D274" s="439"/>
      <c r="E274" s="439"/>
      <c r="F274" s="439"/>
      <c r="G274" s="439"/>
      <c r="H274" s="440"/>
      <c r="I274" s="463"/>
      <c r="J274" s="463"/>
      <c r="K274" s="463"/>
    </row>
    <row r="275" customFormat="false" ht="12" hidden="false" customHeight="true" outlineLevel="0" collapsed="false">
      <c r="A275" s="422" t="s">
        <v>80</v>
      </c>
      <c r="B275" s="422" t="n">
        <v>2005</v>
      </c>
      <c r="C275" s="422" t="n">
        <v>2006</v>
      </c>
      <c r="D275" s="422" t="n">
        <v>2007</v>
      </c>
      <c r="E275" s="422" t="n">
        <v>2008</v>
      </c>
      <c r="F275" s="422" t="n">
        <v>2009</v>
      </c>
      <c r="G275" s="422" t="n">
        <v>2010</v>
      </c>
      <c r="H275" s="422" t="s">
        <v>582</v>
      </c>
      <c r="I275" s="463"/>
      <c r="J275" s="464" t="s">
        <v>795</v>
      </c>
      <c r="K275" s="463"/>
      <c r="Q275" s="417" t="s">
        <v>796</v>
      </c>
    </row>
    <row r="276" customFormat="false" ht="27" hidden="false" customHeight="false" outlineLevel="0" collapsed="false">
      <c r="A276" s="423" t="s">
        <v>790</v>
      </c>
      <c r="B276" s="424" t="n">
        <f aca="false">B262*'10. VEHICLES PROPIS'!I117/1000</f>
        <v>154.06180185795</v>
      </c>
      <c r="C276" s="424" t="n">
        <f aca="false">C262*'10. VEHICLES PROPIS'!J117/1000</f>
        <v>154.06180185795</v>
      </c>
      <c r="D276" s="424" t="n">
        <f aca="false">D262*'10. VEHICLES PROPIS'!K117/1000</f>
        <v>154.06180185795</v>
      </c>
      <c r="E276" s="424" t="n">
        <f aca="false">E262*'10. VEHICLES PROPIS'!L117/1000</f>
        <v>154.06180185795</v>
      </c>
      <c r="F276" s="424" t="n">
        <f aca="false">F262*'10. VEHICLES PROPIS'!M117/1000</f>
        <v>154.06180185795</v>
      </c>
      <c r="G276" s="424" t="n">
        <f aca="false">G262*'10. VEHICLES PROPIS'!N117/1000</f>
        <v>154.06180185795</v>
      </c>
      <c r="H276" s="425" t="n">
        <f aca="false">(F276-B276)/B276</f>
        <v>0</v>
      </c>
      <c r="I276" s="462"/>
      <c r="J276" s="462"/>
      <c r="K276" s="462"/>
    </row>
    <row r="277" customFormat="false" ht="24" hidden="false" customHeight="true" outlineLevel="0" collapsed="false">
      <c r="A277" s="423" t="s">
        <v>791</v>
      </c>
      <c r="B277" s="424" t="n">
        <v>0</v>
      </c>
      <c r="C277" s="424" t="n">
        <v>0</v>
      </c>
      <c r="D277" s="424" t="n">
        <v>0</v>
      </c>
      <c r="E277" s="424" t="n">
        <v>0</v>
      </c>
      <c r="F277" s="424" t="n">
        <v>0</v>
      </c>
      <c r="G277" s="424" t="n">
        <v>0</v>
      </c>
      <c r="H277" s="425" t="n">
        <v>0</v>
      </c>
      <c r="I277" s="465"/>
      <c r="J277" s="465"/>
      <c r="K277" s="465"/>
    </row>
    <row r="278" customFormat="false" ht="24" hidden="false" customHeight="true" outlineLevel="0" collapsed="false">
      <c r="A278" s="423" t="s">
        <v>792</v>
      </c>
      <c r="B278" s="424" t="n">
        <v>0</v>
      </c>
      <c r="C278" s="424" t="n">
        <v>0</v>
      </c>
      <c r="D278" s="424" t="n">
        <v>0</v>
      </c>
      <c r="E278" s="424" t="n">
        <v>0</v>
      </c>
      <c r="F278" s="424" t="n">
        <v>0</v>
      </c>
      <c r="G278" s="424" t="n">
        <v>0</v>
      </c>
      <c r="H278" s="425" t="n">
        <v>0</v>
      </c>
      <c r="I278" s="466"/>
      <c r="J278" s="466"/>
      <c r="K278" s="466"/>
    </row>
    <row r="279" customFormat="false" ht="24" hidden="false" customHeight="true" outlineLevel="0" collapsed="false">
      <c r="A279" s="423" t="s">
        <v>793</v>
      </c>
      <c r="B279" s="424" t="n">
        <v>0</v>
      </c>
      <c r="C279" s="424" t="n">
        <v>0</v>
      </c>
      <c r="D279" s="424" t="n">
        <v>0</v>
      </c>
      <c r="E279" s="424" t="n">
        <v>0</v>
      </c>
      <c r="F279" s="424" t="n">
        <v>0</v>
      </c>
      <c r="G279" s="424" t="n">
        <v>0</v>
      </c>
      <c r="H279" s="425" t="n">
        <v>0</v>
      </c>
      <c r="I279" s="467"/>
      <c r="J279" s="467"/>
      <c r="K279" s="467"/>
    </row>
    <row r="280" customFormat="false" ht="12" hidden="false" customHeight="true" outlineLevel="0" collapsed="false">
      <c r="A280" s="428" t="s">
        <v>272</v>
      </c>
      <c r="B280" s="429" t="n">
        <f aca="false">+B276+B277+B278+B279</f>
        <v>154.06180185795</v>
      </c>
      <c r="C280" s="429" t="n">
        <f aca="false">+C276+C277+C278+C279</f>
        <v>154.06180185795</v>
      </c>
      <c r="D280" s="429" t="n">
        <f aca="false">+D276+D277+D278+D279</f>
        <v>154.06180185795</v>
      </c>
      <c r="E280" s="429" t="n">
        <f aca="false">+E276+E277+E278+E279</f>
        <v>154.06180185795</v>
      </c>
      <c r="F280" s="429" t="n">
        <f aca="false">+F276+F277+F278+F279</f>
        <v>154.06180185795</v>
      </c>
      <c r="G280" s="429" t="n">
        <f aca="false">+G276+G277+G278+G279</f>
        <v>154.06180185795</v>
      </c>
      <c r="H280" s="425" t="n">
        <f aca="false">(F280-B280)/B280</f>
        <v>0</v>
      </c>
      <c r="I280" s="468"/>
      <c r="J280" s="468"/>
      <c r="K280" s="468"/>
    </row>
    <row r="281" customFormat="false" ht="12" hidden="false" customHeight="true" outlineLevel="0" collapsed="false">
      <c r="A281" s="435"/>
      <c r="B281" s="439"/>
      <c r="C281" s="439"/>
      <c r="D281" s="439"/>
      <c r="E281" s="439"/>
      <c r="F281" s="439"/>
      <c r="G281" s="439"/>
      <c r="H281" s="440"/>
    </row>
    <row r="282" customFormat="false" ht="12" hidden="false" customHeight="true" outlineLevel="0" collapsed="false">
      <c r="A282" s="454" t="s">
        <v>775</v>
      </c>
      <c r="B282" s="439"/>
      <c r="C282" s="439"/>
      <c r="D282" s="439"/>
      <c r="E282" s="439"/>
      <c r="F282" s="439"/>
      <c r="G282" s="439"/>
      <c r="H282" s="440"/>
    </row>
    <row r="283" customFormat="false" ht="12" hidden="false" customHeight="true" outlineLevel="0" collapsed="false">
      <c r="A283" s="435"/>
      <c r="B283" s="439"/>
      <c r="C283" s="439"/>
      <c r="D283" s="439"/>
      <c r="E283" s="439"/>
      <c r="F283" s="439"/>
      <c r="G283" s="439"/>
      <c r="H283" s="440"/>
    </row>
    <row r="284" customFormat="false" ht="12" hidden="false" customHeight="true" outlineLevel="0" collapsed="false">
      <c r="A284" s="435"/>
      <c r="B284" s="439"/>
      <c r="C284" s="439"/>
      <c r="D284" s="439"/>
      <c r="E284" s="439"/>
      <c r="F284" s="439"/>
      <c r="G284" s="439"/>
      <c r="H284" s="440"/>
    </row>
    <row r="285" customFormat="false" ht="12" hidden="false" customHeight="true" outlineLevel="0" collapsed="false">
      <c r="A285" s="435"/>
      <c r="B285" s="439"/>
      <c r="C285" s="439"/>
      <c r="D285" s="439"/>
      <c r="E285" s="439"/>
      <c r="F285" s="439"/>
      <c r="G285" s="439"/>
      <c r="H285" s="440"/>
    </row>
    <row r="286" customFormat="false" ht="12" hidden="false" customHeight="true" outlineLevel="0" collapsed="false">
      <c r="A286" s="435"/>
      <c r="B286" s="439"/>
      <c r="C286" s="439"/>
      <c r="D286" s="439"/>
      <c r="E286" s="439"/>
      <c r="F286" s="439"/>
      <c r="G286" s="439"/>
      <c r="H286" s="440"/>
    </row>
    <row r="287" customFormat="false" ht="12" hidden="false" customHeight="true" outlineLevel="0" collapsed="false">
      <c r="A287" s="435"/>
      <c r="B287" s="439"/>
      <c r="C287" s="439"/>
      <c r="D287" s="439"/>
      <c r="E287" s="439"/>
      <c r="F287" s="439"/>
      <c r="G287" s="439"/>
      <c r="H287" s="440"/>
      <c r="J287" s="464" t="s">
        <v>797</v>
      </c>
      <c r="Q287" s="417" t="s">
        <v>798</v>
      </c>
    </row>
    <row r="288" customFormat="false" ht="12" hidden="false" customHeight="true" outlineLevel="0" collapsed="false">
      <c r="A288" s="435"/>
      <c r="B288" s="439"/>
      <c r="C288" s="439"/>
      <c r="D288" s="439"/>
      <c r="E288" s="439"/>
      <c r="F288" s="439"/>
      <c r="G288" s="439"/>
      <c r="H288" s="440"/>
    </row>
    <row r="289" customFormat="false" ht="12" hidden="false" customHeight="true" outlineLevel="0" collapsed="false">
      <c r="A289" s="421" t="s">
        <v>799</v>
      </c>
      <c r="B289" s="439"/>
      <c r="C289" s="439"/>
      <c r="D289" s="439"/>
      <c r="E289" s="439"/>
      <c r="F289" s="439"/>
      <c r="G289" s="439"/>
      <c r="H289" s="440"/>
    </row>
    <row r="290" customFormat="false" ht="12" hidden="false" customHeight="true" outlineLevel="0" collapsed="false">
      <c r="A290" s="435"/>
      <c r="B290" s="439"/>
      <c r="C290" s="439"/>
      <c r="D290" s="439"/>
      <c r="E290" s="439"/>
      <c r="F290" s="439"/>
      <c r="G290" s="439"/>
      <c r="H290" s="440"/>
    </row>
    <row r="291" customFormat="false" ht="12" hidden="false" customHeight="true" outlineLevel="0" collapsed="false">
      <c r="A291" s="422"/>
      <c r="B291" s="422" t="n">
        <v>2005</v>
      </c>
      <c r="C291" s="422" t="n">
        <v>2006</v>
      </c>
      <c r="D291" s="422" t="n">
        <v>2007</v>
      </c>
      <c r="E291" s="422" t="n">
        <v>2008</v>
      </c>
      <c r="F291" s="422" t="n">
        <v>2009</v>
      </c>
      <c r="G291" s="422" t="n">
        <v>2010</v>
      </c>
      <c r="H291" s="422" t="s">
        <v>582</v>
      </c>
    </row>
    <row r="292" customFormat="false" ht="12" hidden="false" customHeight="true" outlineLevel="0" collapsed="false">
      <c r="A292" s="469" t="s">
        <v>800</v>
      </c>
      <c r="B292" s="424"/>
      <c r="C292" s="424"/>
      <c r="D292" s="424"/>
      <c r="E292" s="424"/>
      <c r="F292" s="424"/>
      <c r="G292" s="424"/>
      <c r="H292" s="425" t="e">
        <f aca="false">(F292-B292)/B292</f>
        <v>#DIV/0!</v>
      </c>
    </row>
    <row r="293" customFormat="false" ht="12" hidden="false" customHeight="true" outlineLevel="0" collapsed="false">
      <c r="A293" s="428" t="s">
        <v>272</v>
      </c>
      <c r="B293" s="429" t="n">
        <f aca="false">+B292</f>
        <v>0</v>
      </c>
      <c r="C293" s="429" t="n">
        <f aca="false">+C292</f>
        <v>0</v>
      </c>
      <c r="D293" s="429" t="n">
        <f aca="false">+D292</f>
        <v>0</v>
      </c>
      <c r="E293" s="429" t="n">
        <f aca="false">+E292</f>
        <v>0</v>
      </c>
      <c r="F293" s="429" t="n">
        <f aca="false">+F292</f>
        <v>0</v>
      </c>
      <c r="G293" s="429" t="n">
        <f aca="false">+G292</f>
        <v>0</v>
      </c>
      <c r="H293" s="425" t="e">
        <f aca="false">(F293-B293)/B293</f>
        <v>#DIV/0!</v>
      </c>
    </row>
    <row r="294" customFormat="false" ht="12" hidden="false" customHeight="true" outlineLevel="0" collapsed="false">
      <c r="A294" s="150"/>
      <c r="B294" s="150"/>
      <c r="C294" s="150"/>
      <c r="D294" s="150"/>
      <c r="E294" s="150"/>
      <c r="F294" s="150"/>
      <c r="G294" s="150"/>
      <c r="H294" s="155"/>
    </row>
    <row r="295" customFormat="false" ht="12" hidden="false" customHeight="true" outlineLevel="0" collapsed="false">
      <c r="A295" s="454" t="s">
        <v>775</v>
      </c>
      <c r="B295" s="439"/>
      <c r="C295" s="439"/>
      <c r="D295" s="150"/>
      <c r="E295" s="150"/>
      <c r="F295" s="150"/>
      <c r="G295" s="150"/>
      <c r="H295" s="155"/>
    </row>
    <row r="296" customFormat="false" ht="12" hidden="false" customHeight="true" outlineLevel="0" collapsed="false">
      <c r="A296" s="150"/>
      <c r="B296" s="150"/>
      <c r="C296" s="150"/>
      <c r="D296" s="150"/>
      <c r="E296" s="150"/>
      <c r="F296" s="150"/>
      <c r="G296" s="150"/>
      <c r="H296" s="155"/>
    </row>
    <row r="297" customFormat="false" ht="12" hidden="false" customHeight="true" outlineLevel="0" collapsed="false">
      <c r="A297" s="150"/>
      <c r="B297" s="150"/>
      <c r="C297" s="150"/>
      <c r="D297" s="150"/>
      <c r="E297" s="150"/>
      <c r="F297" s="150"/>
      <c r="G297" s="150"/>
      <c r="H297" s="155"/>
    </row>
    <row r="298" customFormat="false" ht="12" hidden="false" customHeight="true" outlineLevel="0" collapsed="false">
      <c r="A298" s="150"/>
      <c r="B298" s="150"/>
      <c r="C298" s="150"/>
      <c r="D298" s="150"/>
      <c r="E298" s="150"/>
      <c r="F298" s="150"/>
      <c r="G298" s="150"/>
      <c r="H298" s="155"/>
    </row>
    <row r="299" customFormat="false" ht="12" hidden="false" customHeight="true" outlineLevel="0" collapsed="false">
      <c r="A299" s="150"/>
      <c r="B299" s="150"/>
      <c r="C299" s="150"/>
      <c r="D299" s="150"/>
      <c r="E299" s="150"/>
      <c r="F299" s="150"/>
      <c r="G299" s="150"/>
      <c r="H299" s="155"/>
    </row>
    <row r="300" customFormat="false" ht="12" hidden="false" customHeight="true" outlineLevel="0" collapsed="false">
      <c r="A300" s="150"/>
      <c r="B300" s="150"/>
      <c r="C300" s="150"/>
      <c r="D300" s="150"/>
      <c r="E300" s="150"/>
      <c r="F300" s="150"/>
      <c r="G300" s="150"/>
      <c r="H300" s="155"/>
    </row>
    <row r="301" customFormat="false" ht="12" hidden="false" customHeight="true" outlineLevel="0" collapsed="false">
      <c r="A301" s="150"/>
      <c r="B301" s="150"/>
      <c r="C301" s="150"/>
      <c r="D301" s="150"/>
      <c r="E301" s="150"/>
      <c r="F301" s="150"/>
      <c r="G301" s="150"/>
      <c r="H301" s="155"/>
    </row>
    <row r="302" customFormat="false" ht="12" hidden="false" customHeight="true" outlineLevel="0" collapsed="false">
      <c r="A302" s="150"/>
      <c r="B302" s="150"/>
      <c r="C302" s="150"/>
      <c r="D302" s="150"/>
      <c r="E302" s="150"/>
      <c r="F302" s="150"/>
      <c r="G302" s="150"/>
      <c r="H302" s="155"/>
    </row>
    <row r="303" customFormat="false" ht="12" hidden="false" customHeight="true" outlineLevel="0" collapsed="false">
      <c r="A303" s="421" t="s">
        <v>801</v>
      </c>
      <c r="B303" s="150"/>
      <c r="C303" s="150"/>
      <c r="D303" s="150"/>
      <c r="E303" s="150"/>
      <c r="F303" s="150"/>
      <c r="G303" s="150"/>
      <c r="H303" s="155"/>
      <c r="J303" s="464" t="s">
        <v>802</v>
      </c>
    </row>
    <row r="304" customFormat="false" ht="12" hidden="false" customHeight="true" outlineLevel="0" collapsed="false">
      <c r="A304" s="150"/>
      <c r="B304" s="150"/>
      <c r="C304" s="150"/>
      <c r="D304" s="150"/>
      <c r="E304" s="150"/>
      <c r="F304" s="150"/>
      <c r="G304" s="150"/>
      <c r="H304" s="155"/>
      <c r="Q304" s="417" t="s">
        <v>803</v>
      </c>
    </row>
    <row r="305" customFormat="false" ht="12" hidden="false" customHeight="true" outlineLevel="0" collapsed="false">
      <c r="A305" s="470"/>
      <c r="B305" s="422" t="n">
        <v>2005</v>
      </c>
      <c r="C305" s="422" t="n">
        <v>2006</v>
      </c>
      <c r="D305" s="422" t="n">
        <v>2007</v>
      </c>
      <c r="E305" s="422" t="n">
        <v>2008</v>
      </c>
      <c r="F305" s="422" t="n">
        <v>2009</v>
      </c>
      <c r="G305" s="422" t="n">
        <v>2010</v>
      </c>
      <c r="H305" s="422" t="s">
        <v>582</v>
      </c>
    </row>
    <row r="306" customFormat="false" ht="12" hidden="false" customHeight="true" outlineLevel="0" collapsed="false">
      <c r="A306" s="469" t="s">
        <v>720</v>
      </c>
      <c r="B306" s="424"/>
      <c r="C306" s="424"/>
      <c r="D306" s="424"/>
      <c r="E306" s="424"/>
      <c r="F306" s="424"/>
      <c r="G306" s="424"/>
      <c r="H306" s="425" t="e">
        <f aca="false">(F306-B306)/B306</f>
        <v>#DIV/0!</v>
      </c>
    </row>
    <row r="307" customFormat="false" ht="12" hidden="false" customHeight="true" outlineLevel="0" collapsed="false">
      <c r="A307" s="471" t="s">
        <v>272</v>
      </c>
      <c r="B307" s="429" t="n">
        <f aca="false">+B306</f>
        <v>0</v>
      </c>
      <c r="C307" s="429" t="n">
        <f aca="false">+C306</f>
        <v>0</v>
      </c>
      <c r="D307" s="429" t="n">
        <f aca="false">+D306</f>
        <v>0</v>
      </c>
      <c r="E307" s="429" t="n">
        <f aca="false">+E306</f>
        <v>0</v>
      </c>
      <c r="F307" s="429" t="n">
        <f aca="false">+F306</f>
        <v>0</v>
      </c>
      <c r="G307" s="429" t="n">
        <f aca="false">+G306</f>
        <v>0</v>
      </c>
      <c r="H307" s="425" t="e">
        <f aca="false">(F307-B307)/B307</f>
        <v>#DIV/0!</v>
      </c>
    </row>
    <row r="308" customFormat="false" ht="12" hidden="false" customHeight="true" outlineLevel="0" collapsed="false">
      <c r="A308" s="150"/>
      <c r="B308" s="150"/>
      <c r="C308" s="150"/>
      <c r="D308" s="150"/>
      <c r="E308" s="150"/>
      <c r="F308" s="150"/>
      <c r="G308" s="150"/>
      <c r="H308" s="155"/>
    </row>
    <row r="309" customFormat="false" ht="12" hidden="false" customHeight="true" outlineLevel="0" collapsed="false">
      <c r="A309" s="454" t="s">
        <v>775</v>
      </c>
      <c r="B309" s="439"/>
      <c r="C309" s="439"/>
      <c r="D309" s="150"/>
      <c r="E309" s="150"/>
      <c r="F309" s="150"/>
      <c r="G309" s="150"/>
      <c r="H309" s="155"/>
    </row>
    <row r="310" customFormat="false" ht="12" hidden="false" customHeight="true" outlineLevel="0" collapsed="false">
      <c r="A310" s="150"/>
      <c r="B310" s="150"/>
      <c r="C310" s="150"/>
      <c r="D310" s="150"/>
      <c r="E310" s="150"/>
      <c r="F310" s="150"/>
      <c r="G310" s="150"/>
      <c r="H310" s="155"/>
    </row>
    <row r="311" customFormat="false" ht="12" hidden="false" customHeight="true" outlineLevel="0" collapsed="false">
      <c r="A311" s="150"/>
      <c r="B311" s="150"/>
      <c r="C311" s="150"/>
      <c r="D311" s="150"/>
      <c r="E311" s="150"/>
      <c r="F311" s="150"/>
      <c r="G311" s="150"/>
      <c r="H311" s="155"/>
    </row>
    <row r="312" customFormat="false" ht="12" hidden="false" customHeight="true" outlineLevel="0" collapsed="false">
      <c r="A312" s="150"/>
      <c r="B312" s="150"/>
      <c r="C312" s="150"/>
      <c r="D312" s="150"/>
      <c r="E312" s="150"/>
      <c r="F312" s="150"/>
      <c r="G312" s="150"/>
      <c r="H312" s="155"/>
    </row>
    <row r="313" customFormat="false" ht="12" hidden="false" customHeight="true" outlineLevel="0" collapsed="false">
      <c r="A313" s="150"/>
      <c r="B313" s="150"/>
      <c r="C313" s="150"/>
      <c r="D313" s="150"/>
      <c r="E313" s="150"/>
      <c r="F313" s="150"/>
      <c r="G313" s="150"/>
      <c r="H313" s="155"/>
    </row>
    <row r="314" customFormat="false" ht="12" hidden="false" customHeight="true" outlineLevel="0" collapsed="false">
      <c r="A314" s="150"/>
      <c r="B314" s="150"/>
      <c r="C314" s="150"/>
      <c r="D314" s="150"/>
      <c r="E314" s="150"/>
      <c r="F314" s="150"/>
      <c r="G314" s="150"/>
      <c r="H314" s="155"/>
    </row>
    <row r="315" customFormat="false" ht="12" hidden="false" customHeight="true" outlineLevel="0" collapsed="false">
      <c r="A315" s="150"/>
      <c r="B315" s="150"/>
      <c r="C315" s="150"/>
      <c r="D315" s="150"/>
      <c r="E315" s="150"/>
      <c r="F315" s="150"/>
      <c r="G315" s="150"/>
      <c r="H315" s="155"/>
    </row>
    <row r="316" customFormat="false" ht="12" hidden="false" customHeight="true" outlineLevel="0" collapsed="false">
      <c r="A316" s="150"/>
      <c r="B316" s="150"/>
      <c r="C316" s="150"/>
      <c r="D316" s="150"/>
      <c r="E316" s="150"/>
      <c r="F316" s="150"/>
      <c r="G316" s="150"/>
      <c r="H316" s="155"/>
    </row>
    <row r="317" customFormat="false" ht="12" hidden="false" customHeight="true" outlineLevel="0" collapsed="false">
      <c r="A317" s="421" t="s">
        <v>804</v>
      </c>
      <c r="B317" s="150"/>
      <c r="C317" s="150"/>
      <c r="D317" s="150"/>
      <c r="E317" s="150"/>
      <c r="F317" s="150"/>
      <c r="G317" s="150"/>
      <c r="H317" s="155"/>
    </row>
    <row r="318" customFormat="false" ht="12" hidden="false" customHeight="true" outlineLevel="0" collapsed="false">
      <c r="A318" s="150"/>
      <c r="B318" s="150"/>
      <c r="C318" s="150"/>
      <c r="D318" s="150"/>
      <c r="E318" s="150"/>
      <c r="F318" s="150"/>
      <c r="G318" s="150"/>
      <c r="H318" s="155"/>
    </row>
    <row r="319" customFormat="false" ht="12" hidden="false" customHeight="true" outlineLevel="0" collapsed="false">
      <c r="A319" s="422"/>
      <c r="B319" s="422" t="n">
        <v>2005</v>
      </c>
      <c r="C319" s="422" t="n">
        <v>2006</v>
      </c>
      <c r="D319" s="422" t="n">
        <v>2007</v>
      </c>
      <c r="E319" s="422" t="n">
        <v>2008</v>
      </c>
      <c r="F319" s="422" t="n">
        <v>2009</v>
      </c>
      <c r="G319" s="422" t="n">
        <v>2010</v>
      </c>
      <c r="H319" s="422" t="s">
        <v>582</v>
      </c>
      <c r="J319" s="464" t="s">
        <v>805</v>
      </c>
      <c r="Q319" s="417" t="s">
        <v>806</v>
      </c>
    </row>
    <row r="320" customFormat="false" ht="12" hidden="false" customHeight="true" outlineLevel="0" collapsed="false">
      <c r="A320" s="472" t="s">
        <v>290</v>
      </c>
      <c r="B320" s="424" t="n">
        <f aca="false">+B62</f>
        <v>5631.29415</v>
      </c>
      <c r="C320" s="424" t="n">
        <f aca="false">+C62</f>
        <v>6282.35712</v>
      </c>
      <c r="D320" s="424" t="n">
        <f aca="false">+D62</f>
        <v>6378.18426</v>
      </c>
      <c r="E320" s="424" t="n">
        <f aca="false">+E62</f>
        <v>6693.7638</v>
      </c>
      <c r="F320" s="424" t="n">
        <f aca="false">+F62</f>
        <v>6891.7632</v>
      </c>
      <c r="G320" s="424" t="n">
        <f aca="false">+G62</f>
        <v>4016.25713</v>
      </c>
      <c r="H320" s="425" t="n">
        <f aca="false">(F320-B320)/B320</f>
        <v>0.223832926575146</v>
      </c>
    </row>
    <row r="321" customFormat="false" ht="12" hidden="false" customHeight="true" outlineLevel="0" collapsed="false">
      <c r="A321" s="428" t="s">
        <v>272</v>
      </c>
      <c r="B321" s="429" t="n">
        <f aca="false">+B320</f>
        <v>5631.29415</v>
      </c>
      <c r="C321" s="429" t="n">
        <f aca="false">+C320</f>
        <v>6282.35712</v>
      </c>
      <c r="D321" s="429" t="n">
        <f aca="false">+D320</f>
        <v>6378.18426</v>
      </c>
      <c r="E321" s="429" t="n">
        <f aca="false">+E320</f>
        <v>6693.7638</v>
      </c>
      <c r="F321" s="429" t="n">
        <f aca="false">+F320</f>
        <v>6891.7632</v>
      </c>
      <c r="G321" s="429" t="n">
        <f aca="false">+G320</f>
        <v>4016.25713</v>
      </c>
      <c r="H321" s="425" t="n">
        <f aca="false">(F321-B321)/B321</f>
        <v>0.223832926575146</v>
      </c>
    </row>
    <row r="322" customFormat="false" ht="12" hidden="false" customHeight="true" outlineLevel="0" collapsed="false">
      <c r="A322" s="150"/>
      <c r="B322" s="150"/>
      <c r="C322" s="150"/>
      <c r="D322" s="150"/>
      <c r="E322" s="150"/>
      <c r="F322" s="150"/>
      <c r="G322" s="150"/>
      <c r="H322" s="155"/>
    </row>
    <row r="323" customFormat="false" ht="12" hidden="false" customHeight="true" outlineLevel="0" collapsed="false">
      <c r="A323" s="150"/>
      <c r="B323" s="150"/>
      <c r="C323" s="150"/>
      <c r="D323" s="150"/>
      <c r="E323" s="150"/>
      <c r="F323" s="150"/>
      <c r="G323" s="150"/>
      <c r="H323" s="155"/>
    </row>
    <row r="324" customFormat="false" ht="12" hidden="false" customHeight="true" outlineLevel="0" collapsed="false">
      <c r="A324" s="150"/>
      <c r="B324" s="150"/>
      <c r="C324" s="150"/>
      <c r="D324" s="150"/>
      <c r="E324" s="150"/>
      <c r="F324" s="150"/>
      <c r="G324" s="150"/>
      <c r="H324" s="155"/>
    </row>
    <row r="325" customFormat="false" ht="12" hidden="false" customHeight="true" outlineLevel="0" collapsed="false">
      <c r="A325" s="150"/>
      <c r="B325" s="150"/>
      <c r="C325" s="150"/>
      <c r="D325" s="150"/>
      <c r="E325" s="150"/>
      <c r="F325" s="150"/>
      <c r="G325" s="150"/>
      <c r="H325" s="155"/>
    </row>
    <row r="326" customFormat="false" ht="12" hidden="false" customHeight="true" outlineLevel="0" collapsed="false">
      <c r="A326" s="150"/>
      <c r="B326" s="150"/>
      <c r="C326" s="150"/>
      <c r="D326" s="150"/>
      <c r="E326" s="150"/>
      <c r="F326" s="150"/>
      <c r="G326" s="150"/>
      <c r="H326" s="155"/>
    </row>
    <row r="327" customFormat="false" ht="12" hidden="false" customHeight="true" outlineLevel="0" collapsed="false">
      <c r="A327" s="150"/>
      <c r="B327" s="150"/>
      <c r="C327" s="150"/>
      <c r="D327" s="150"/>
      <c r="E327" s="150"/>
      <c r="F327" s="150"/>
      <c r="G327" s="150"/>
      <c r="H327" s="155"/>
    </row>
    <row r="328" customFormat="false" ht="12" hidden="false" customHeight="true" outlineLevel="0" collapsed="false">
      <c r="A328" s="150"/>
      <c r="B328" s="150"/>
      <c r="C328" s="150"/>
      <c r="D328" s="150"/>
      <c r="E328" s="150"/>
      <c r="F328" s="150"/>
      <c r="G328" s="150"/>
      <c r="H328" s="155"/>
    </row>
    <row r="329" customFormat="false" ht="12" hidden="false" customHeight="true" outlineLevel="0" collapsed="false">
      <c r="A329" s="150"/>
      <c r="B329" s="150"/>
      <c r="C329" s="150"/>
      <c r="D329" s="150"/>
      <c r="E329" s="150"/>
      <c r="F329" s="150"/>
      <c r="G329" s="150"/>
      <c r="H329" s="155"/>
    </row>
    <row r="330" customFormat="false" ht="12" hidden="false" customHeight="true" outlineLevel="0" collapsed="false">
      <c r="A330" s="150"/>
      <c r="B330" s="150"/>
      <c r="C330" s="150"/>
      <c r="D330" s="150"/>
      <c r="E330" s="150"/>
      <c r="F330" s="150"/>
      <c r="G330" s="150"/>
      <c r="H330" s="155"/>
    </row>
    <row r="331" customFormat="false" ht="12" hidden="false" customHeight="true" outlineLevel="0" collapsed="false">
      <c r="A331" s="150"/>
      <c r="B331" s="150"/>
      <c r="C331" s="150"/>
      <c r="D331" s="150"/>
      <c r="E331" s="150"/>
      <c r="F331" s="150"/>
      <c r="G331" s="150"/>
      <c r="H331" s="155"/>
    </row>
    <row r="332" customFormat="false" ht="12" hidden="false" customHeight="true" outlineLevel="0" collapsed="false">
      <c r="A332" s="421" t="s">
        <v>807</v>
      </c>
      <c r="B332" s="150"/>
      <c r="C332" s="150"/>
      <c r="D332" s="150"/>
      <c r="E332" s="150"/>
      <c r="F332" s="150"/>
      <c r="G332" s="150"/>
      <c r="H332" s="155"/>
    </row>
    <row r="333" customFormat="false" ht="12" hidden="false" customHeight="true" outlineLevel="0" collapsed="false">
      <c r="A333" s="150"/>
      <c r="B333" s="150"/>
      <c r="C333" s="150"/>
      <c r="D333" s="150"/>
      <c r="E333" s="150"/>
      <c r="F333" s="150"/>
      <c r="G333" s="150"/>
      <c r="H333" s="155"/>
    </row>
    <row r="334" customFormat="false" ht="12" hidden="false" customHeight="true" outlineLevel="0" collapsed="false">
      <c r="A334" s="422"/>
      <c r="B334" s="422" t="n">
        <v>2005</v>
      </c>
      <c r="C334" s="422" t="n">
        <v>2006</v>
      </c>
      <c r="D334" s="422" t="n">
        <v>2007</v>
      </c>
      <c r="E334" s="422" t="n">
        <v>2008</v>
      </c>
      <c r="F334" s="422" t="n">
        <v>2009</v>
      </c>
      <c r="G334" s="422" t="n">
        <v>2010</v>
      </c>
      <c r="H334" s="422" t="s">
        <v>582</v>
      </c>
    </row>
    <row r="335" customFormat="false" ht="12" hidden="false" customHeight="true" outlineLevel="0" collapsed="false">
      <c r="A335" s="472" t="s">
        <v>290</v>
      </c>
      <c r="B335" s="424" t="n">
        <f aca="false">+B82</f>
        <v>4751.68600377</v>
      </c>
      <c r="C335" s="424" t="n">
        <f aca="false">+C82</f>
        <v>5706.893207808</v>
      </c>
      <c r="D335" s="424" t="n">
        <f aca="false">+D82</f>
        <v>5237.127095886</v>
      </c>
      <c r="E335" s="424" t="n">
        <f aca="false">+E82</f>
        <v>5537.08141536</v>
      </c>
      <c r="F335" s="424" t="n">
        <f aca="false">+F82</f>
        <v>5844.90436992</v>
      </c>
      <c r="G335" s="424" t="n">
        <f aca="false">+G82</f>
        <v>3406.187671953</v>
      </c>
      <c r="H335" s="425" t="n">
        <f aca="false">(F335-B335)/B335</f>
        <v>0.230069572207136</v>
      </c>
    </row>
    <row r="336" customFormat="false" ht="12" hidden="false" customHeight="true" outlineLevel="0" collapsed="false">
      <c r="A336" s="428" t="s">
        <v>272</v>
      </c>
      <c r="B336" s="429" t="n">
        <f aca="false">+B335</f>
        <v>4751.68600377</v>
      </c>
      <c r="C336" s="429" t="n">
        <f aca="false">+C335</f>
        <v>5706.893207808</v>
      </c>
      <c r="D336" s="429" t="n">
        <f aca="false">+D335</f>
        <v>5237.127095886</v>
      </c>
      <c r="E336" s="429" t="n">
        <f aca="false">+E335</f>
        <v>5537.08141536</v>
      </c>
      <c r="F336" s="429" t="n">
        <f aca="false">+F335</f>
        <v>5844.90436992</v>
      </c>
      <c r="G336" s="429" t="n">
        <f aca="false">+G335</f>
        <v>3406.187671953</v>
      </c>
      <c r="H336" s="425" t="n">
        <f aca="false">(F336-B336)/B336</f>
        <v>0.230069572207136</v>
      </c>
      <c r="J336" s="464" t="s">
        <v>808</v>
      </c>
      <c r="Q336" s="417" t="s">
        <v>809</v>
      </c>
    </row>
    <row r="337" customFormat="false" ht="12" hidden="false" customHeight="true" outlineLevel="0" collapsed="false">
      <c r="A337" s="150"/>
      <c r="B337" s="150"/>
      <c r="C337" s="150"/>
      <c r="D337" s="150"/>
      <c r="E337" s="150"/>
      <c r="F337" s="150"/>
      <c r="G337" s="150"/>
      <c r="H337" s="155"/>
    </row>
    <row r="338" customFormat="false" ht="12" hidden="false" customHeight="true" outlineLevel="0" collapsed="false">
      <c r="A338" s="150"/>
      <c r="B338" s="150"/>
      <c r="C338" s="150"/>
      <c r="D338" s="150"/>
      <c r="E338" s="150"/>
      <c r="F338" s="150"/>
      <c r="G338" s="150"/>
      <c r="H338" s="155"/>
    </row>
    <row r="339" customFormat="false" ht="12" hidden="false" customHeight="true" outlineLevel="0" collapsed="false">
      <c r="A339" s="150"/>
      <c r="B339" s="150"/>
      <c r="C339" s="150"/>
      <c r="D339" s="150"/>
      <c r="E339" s="150"/>
      <c r="F339" s="150"/>
      <c r="G339" s="150"/>
      <c r="H339" s="155"/>
    </row>
    <row r="340" customFormat="false" ht="12" hidden="false" customHeight="true" outlineLevel="0" collapsed="false">
      <c r="A340" s="150"/>
      <c r="B340" s="150"/>
      <c r="C340" s="150"/>
      <c r="D340" s="150"/>
      <c r="E340" s="150"/>
      <c r="F340" s="150"/>
      <c r="G340" s="150"/>
      <c r="H340" s="155"/>
    </row>
    <row r="341" customFormat="false" ht="12" hidden="false" customHeight="true" outlineLevel="0" collapsed="false">
      <c r="A341" s="150"/>
      <c r="B341" s="150"/>
      <c r="C341" s="150"/>
      <c r="D341" s="150"/>
      <c r="E341" s="150"/>
      <c r="F341" s="150"/>
      <c r="G341" s="150"/>
      <c r="H341" s="155"/>
    </row>
    <row r="342" customFormat="false" ht="12" hidden="false" customHeight="true" outlineLevel="0" collapsed="false">
      <c r="A342" s="150"/>
      <c r="B342" s="150"/>
      <c r="C342" s="150"/>
      <c r="D342" s="150"/>
      <c r="E342" s="150"/>
      <c r="F342" s="150"/>
      <c r="G342" s="150"/>
      <c r="H342" s="155"/>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19.xml><?xml version="1.0" encoding="utf-8"?>
<worksheet xmlns="http://schemas.openxmlformats.org/spreadsheetml/2006/main" xmlns:r="http://schemas.openxmlformats.org/officeDocument/2006/relationships">
  <sheetPr filterMode="false">
    <tabColor rgb="FFFF0000"/>
    <pageSetUpPr fitToPage="false"/>
  </sheetPr>
  <dimension ref="A1:I67"/>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58" activeCellId="0" sqref="G258"/>
    </sheetView>
  </sheetViews>
  <sheetFormatPr defaultRowHeight="11.25"/>
  <cols>
    <col collapsed="false" hidden="false" max="1" min="1" style="150" width="15.5255102040816"/>
    <col collapsed="false" hidden="false" max="2" min="2" style="150" width="16.6020408163265"/>
    <col collapsed="false" hidden="false" max="9" min="3" style="150" width="9.85204081632653"/>
    <col collapsed="false" hidden="false" max="1025" min="10" style="150" width="15.5255102040816"/>
  </cols>
  <sheetData>
    <row r="1" s="73" customFormat="true" ht="13.5" hidden="false" customHeight="false" outlineLevel="0" collapsed="false"/>
    <row r="2" customFormat="false" ht="13.5" hidden="false" customHeight="false" outlineLevel="0" collapsed="false">
      <c r="A2" s="113"/>
    </row>
    <row r="4" customFormat="false" ht="13.5" hidden="false" customHeight="false" outlineLevel="0" collapsed="false">
      <c r="A4" s="473" t="s">
        <v>810</v>
      </c>
      <c r="B4" s="473"/>
    </row>
    <row r="5" customFormat="false" ht="13.5" hidden="false" customHeight="false" outlineLevel="0" collapsed="false">
      <c r="A5" s="83"/>
    </row>
    <row r="6" customFormat="false" ht="27" hidden="false" customHeight="false" outlineLevel="0" collapsed="false">
      <c r="A6" s="360" t="s">
        <v>237</v>
      </c>
      <c r="B6" s="328" t="s">
        <v>238</v>
      </c>
      <c r="C6" s="328" t="n">
        <f aca="false">'0.DADES'!D8</f>
        <v>2005</v>
      </c>
      <c r="D6" s="328" t="n">
        <f aca="false">'0.DADES'!E8</f>
        <v>2006</v>
      </c>
      <c r="E6" s="328" t="n">
        <f aca="false">'0.DADES'!F8</f>
        <v>2007</v>
      </c>
      <c r="F6" s="328" t="n">
        <f aca="false">'0.DADES'!G8</f>
        <v>2008</v>
      </c>
      <c r="G6" s="328" t="n">
        <f aca="false">'0.DADES'!H8</f>
        <v>2009</v>
      </c>
      <c r="H6" s="328" t="n">
        <f aca="false">'0.DADES'!I8</f>
        <v>2010</v>
      </c>
    </row>
    <row r="7" customFormat="false" ht="12.75" hidden="false" customHeight="true" outlineLevel="0" collapsed="false">
      <c r="A7" s="474" t="s">
        <v>239</v>
      </c>
      <c r="B7" s="475" t="s">
        <v>240</v>
      </c>
      <c r="C7" s="476" t="n">
        <f aca="false">'5.RENOVABLES'!C10</f>
        <v>2</v>
      </c>
      <c r="D7" s="476" t="n">
        <f aca="false">'5.RENOVABLES'!D10</f>
        <v>2</v>
      </c>
      <c r="E7" s="476" t="n">
        <f aca="false">'5.RENOVABLES'!E10</f>
        <v>2</v>
      </c>
      <c r="F7" s="476" t="n">
        <f aca="false">'5.RENOVABLES'!F10</f>
        <v>6</v>
      </c>
      <c r="G7" s="476" t="n">
        <f aca="false">'5.RENOVABLES'!G10</f>
        <v>6</v>
      </c>
      <c r="H7" s="476" t="n">
        <f aca="false">'5.RENOVABLES'!H10</f>
        <v>6</v>
      </c>
    </row>
    <row r="8" customFormat="false" ht="27" hidden="false" customHeight="false" outlineLevel="0" collapsed="false">
      <c r="A8" s="474"/>
      <c r="B8" s="475" t="s">
        <v>241</v>
      </c>
      <c r="C8" s="477" t="n">
        <f aca="false">'5.RENOVABLES'!C11</f>
        <v>9.1</v>
      </c>
      <c r="D8" s="477" t="n">
        <f aca="false">'5.RENOVABLES'!D11</f>
        <v>9.1</v>
      </c>
      <c r="E8" s="477" t="n">
        <f aca="false">'5.RENOVABLES'!E11</f>
        <v>9.1</v>
      </c>
      <c r="F8" s="477" t="n">
        <f aca="false">'5.RENOVABLES'!F11</f>
        <v>60.1</v>
      </c>
      <c r="G8" s="477" t="n">
        <f aca="false">'5.RENOVABLES'!G11</f>
        <v>60.1</v>
      </c>
      <c r="H8" s="477" t="n">
        <f aca="false">'5.RENOVABLES'!H11</f>
        <v>60.1</v>
      </c>
    </row>
    <row r="9" customFormat="false" ht="12.75" hidden="true" customHeight="true" outlineLevel="0" collapsed="false">
      <c r="A9" s="478" t="s">
        <v>242</v>
      </c>
      <c r="B9" s="479" t="s">
        <v>240</v>
      </c>
      <c r="C9" s="480" t="n">
        <f aca="false">'5.RENOVABLES'!C12</f>
        <v>0</v>
      </c>
      <c r="D9" s="480" t="n">
        <f aca="false">'5.RENOVABLES'!D12</f>
        <v>0</v>
      </c>
      <c r="E9" s="480" t="n">
        <f aca="false">'5.RENOVABLES'!E12</f>
        <v>0</v>
      </c>
      <c r="F9" s="480" t="n">
        <f aca="false">'5.RENOVABLES'!F12</f>
        <v>0</v>
      </c>
      <c r="G9" s="480" t="n">
        <f aca="false">'5.RENOVABLES'!G12</f>
        <v>0</v>
      </c>
      <c r="H9" s="480" t="n">
        <f aca="false">'5.RENOVABLES'!H12</f>
        <v>0</v>
      </c>
    </row>
    <row r="10" customFormat="false" ht="27" hidden="true" customHeight="false" outlineLevel="0" collapsed="false">
      <c r="A10" s="478"/>
      <c r="B10" s="481" t="s">
        <v>811</v>
      </c>
      <c r="C10" s="482" t="n">
        <f aca="false">'5.RENOVABLES'!C13</f>
        <v>0</v>
      </c>
      <c r="D10" s="482" t="n">
        <f aca="false">'5.RENOVABLES'!D13</f>
        <v>0</v>
      </c>
      <c r="E10" s="482" t="n">
        <f aca="false">'5.RENOVABLES'!E13</f>
        <v>0</v>
      </c>
      <c r="F10" s="482" t="n">
        <f aca="false">'5.RENOVABLES'!F13</f>
        <v>0</v>
      </c>
      <c r="G10" s="482" t="n">
        <f aca="false">'5.RENOVABLES'!G13</f>
        <v>0</v>
      </c>
      <c r="H10" s="482" t="n">
        <f aca="false">'5.RENOVABLES'!H13</f>
        <v>0</v>
      </c>
    </row>
    <row r="11" customFormat="false" ht="13.5" hidden="false" customHeight="false" outlineLevel="0" collapsed="false">
      <c r="A11" s="483"/>
      <c r="B11" s="483"/>
      <c r="C11" s="484"/>
      <c r="D11" s="484"/>
      <c r="E11" s="484"/>
      <c r="F11" s="484"/>
      <c r="G11" s="484"/>
      <c r="H11" s="484"/>
    </row>
    <row r="12" customFormat="false" ht="13.5" hidden="false" customHeight="false" outlineLevel="0" collapsed="false">
      <c r="A12" s="433" t="s">
        <v>812</v>
      </c>
      <c r="B12" s="483"/>
      <c r="C12" s="484"/>
      <c r="D12" s="484"/>
      <c r="E12" s="484"/>
      <c r="F12" s="484"/>
      <c r="G12" s="484"/>
      <c r="H12" s="484"/>
    </row>
    <row r="13" customFormat="false" ht="13.5" hidden="false" customHeight="false" outlineLevel="0" collapsed="false">
      <c r="A13" s="83"/>
    </row>
    <row r="14" s="73" customFormat="true" ht="27" hidden="false" customHeight="false" outlineLevel="0" collapsed="false">
      <c r="B14" s="360" t="s">
        <v>31</v>
      </c>
      <c r="C14" s="360" t="n">
        <f aca="false">'0.DADES'!D8</f>
        <v>2005</v>
      </c>
      <c r="D14" s="360" t="n">
        <f aca="false">'0.DADES'!E8</f>
        <v>2006</v>
      </c>
      <c r="E14" s="360" t="n">
        <f aca="false">'0.DADES'!F8</f>
        <v>2007</v>
      </c>
      <c r="F14" s="360" t="n">
        <f aca="false">'0.DADES'!G8</f>
        <v>2008</v>
      </c>
      <c r="G14" s="360" t="n">
        <f aca="false">'0.DADES'!H8</f>
        <v>2009</v>
      </c>
      <c r="H14" s="360" t="n">
        <f aca="false">'0.DADES'!I8</f>
        <v>2010</v>
      </c>
      <c r="I14" s="360" t="s">
        <v>813</v>
      </c>
    </row>
    <row r="15" customFormat="false" ht="13.5" hidden="false" customHeight="false" outlineLevel="0" collapsed="false">
      <c r="A15" s="73"/>
      <c r="B15" s="474" t="s">
        <v>244</v>
      </c>
      <c r="C15" s="485" t="n">
        <f aca="false">'5.RENOVABLES'!B16</f>
        <v>11.83</v>
      </c>
      <c r="D15" s="485" t="n">
        <f aca="false">'5.RENOVABLES'!C16</f>
        <v>11.83</v>
      </c>
      <c r="E15" s="485" t="n">
        <f aca="false">'5.RENOVABLES'!D16</f>
        <v>11.83</v>
      </c>
      <c r="F15" s="485" t="n">
        <f aca="false">'5.RENOVABLES'!E16</f>
        <v>33.93</v>
      </c>
      <c r="G15" s="485" t="n">
        <f aca="false">'5.RENOVABLES'!F16</f>
        <v>78.13</v>
      </c>
      <c r="H15" s="485" t="n">
        <f aca="false">'5.RENOVABLES'!G16</f>
        <v>78.13</v>
      </c>
      <c r="I15" s="485" t="n">
        <v>100</v>
      </c>
    </row>
    <row r="16" customFormat="false" ht="13.5" hidden="true" customHeight="false" outlineLevel="0" collapsed="false">
      <c r="A16" s="73"/>
      <c r="B16" s="474" t="s">
        <v>246</v>
      </c>
      <c r="C16" s="485" t="n">
        <f aca="false">'5.RENOVABLES'!B18</f>
        <v>0</v>
      </c>
      <c r="D16" s="485" t="n">
        <f aca="false">'5.RENOVABLES'!C18</f>
        <v>0</v>
      </c>
      <c r="E16" s="485" t="n">
        <f aca="false">'5.RENOVABLES'!D18</f>
        <v>0</v>
      </c>
      <c r="F16" s="485" t="n">
        <f aca="false">'5.RENOVABLES'!E18</f>
        <v>0</v>
      </c>
      <c r="G16" s="485" t="n">
        <f aca="false">'5.RENOVABLES'!F18</f>
        <v>0</v>
      </c>
      <c r="H16" s="485" t="n">
        <f aca="false">'5.RENOVABLES'!G18</f>
        <v>0</v>
      </c>
      <c r="I16" s="485" t="n">
        <v>0</v>
      </c>
    </row>
    <row r="17" customFormat="false" ht="13.5" hidden="false" customHeight="false" outlineLevel="0" collapsed="false">
      <c r="A17" s="73"/>
      <c r="B17" s="486" t="s">
        <v>175</v>
      </c>
      <c r="C17" s="487" t="n">
        <f aca="false">'5.RENOVABLES'!B20</f>
        <v>11.83</v>
      </c>
      <c r="D17" s="487" t="n">
        <f aca="false">'5.RENOVABLES'!C20</f>
        <v>11.83</v>
      </c>
      <c r="E17" s="487" t="n">
        <f aca="false">'5.RENOVABLES'!D20</f>
        <v>11.83</v>
      </c>
      <c r="F17" s="487" t="n">
        <f aca="false">'5.RENOVABLES'!E20</f>
        <v>33.93</v>
      </c>
      <c r="G17" s="487" t="n">
        <f aca="false">'5.RENOVABLES'!F20</f>
        <v>78.13</v>
      </c>
      <c r="H17" s="487" t="n">
        <f aca="false">'5.RENOVABLES'!G20</f>
        <v>78.13</v>
      </c>
      <c r="I17" s="485" t="n">
        <v>100</v>
      </c>
    </row>
    <row r="19" customFormat="false" ht="13.5" hidden="false" customHeight="false" outlineLevel="0" collapsed="false">
      <c r="A19" s="83" t="s">
        <v>814</v>
      </c>
    </row>
    <row r="21" customFormat="false" ht="13.5" hidden="false" customHeight="false" outlineLevel="0" collapsed="false">
      <c r="B21" s="360" t="s">
        <v>248</v>
      </c>
      <c r="C21" s="360" t="n">
        <v>2005</v>
      </c>
      <c r="D21" s="360" t="n">
        <v>2006</v>
      </c>
      <c r="E21" s="360" t="n">
        <v>2007</v>
      </c>
      <c r="F21" s="360" t="n">
        <v>2008</v>
      </c>
      <c r="G21" s="360" t="n">
        <v>2009</v>
      </c>
      <c r="H21" s="360" t="n">
        <v>2010</v>
      </c>
    </row>
    <row r="22" customFormat="false" ht="13.5" hidden="false" customHeight="false" outlineLevel="0" collapsed="false">
      <c r="B22" s="474" t="s">
        <v>244</v>
      </c>
      <c r="C22" s="344" t="n">
        <f aca="false">'5.RENOVABLES'!B24</f>
        <v>9.982154</v>
      </c>
      <c r="D22" s="344" t="n">
        <f aca="false">'5.RENOVABLES'!C24</f>
        <v>10.746372</v>
      </c>
      <c r="E22" s="344" t="n">
        <f aca="false">'5.RENOVABLES'!D24</f>
        <v>9.713613</v>
      </c>
      <c r="F22" s="344" t="n">
        <f aca="false">'5.RENOVABLES'!E24</f>
        <v>28.066896</v>
      </c>
      <c r="G22" s="344" t="n">
        <f aca="false">'5.RENOVABLES'!F24</f>
        <v>66.262053</v>
      </c>
      <c r="H22" s="344" t="n">
        <f aca="false">'5.RENOVABLES'!G24</f>
        <v>66.262053</v>
      </c>
    </row>
    <row r="23" customFormat="false" ht="13.5" hidden="false" customHeight="false" outlineLevel="0" collapsed="false">
      <c r="B23" s="486" t="s">
        <v>175</v>
      </c>
      <c r="C23" s="344" t="n">
        <f aca="false">'5.RENOVABLES'!B28</f>
        <v>9.982154</v>
      </c>
      <c r="D23" s="344" t="n">
        <f aca="false">'5.RENOVABLES'!C28</f>
        <v>10.746372</v>
      </c>
      <c r="E23" s="344" t="n">
        <f aca="false">'5.RENOVABLES'!D28</f>
        <v>9.713613</v>
      </c>
      <c r="F23" s="344" t="n">
        <f aca="false">'5.RENOVABLES'!E28</f>
        <v>28.066896</v>
      </c>
      <c r="G23" s="344" t="n">
        <f aca="false">'5.RENOVABLES'!F28</f>
        <v>66.262053</v>
      </c>
      <c r="H23" s="344" t="n">
        <f aca="false">'5.RENOVABLES'!G28</f>
        <v>66.262053</v>
      </c>
    </row>
    <row r="26" customFormat="false" ht="13.5" hidden="false" customHeight="false" outlineLevel="0" collapsed="false">
      <c r="A26" s="473" t="s">
        <v>815</v>
      </c>
      <c r="B26" s="473"/>
    </row>
    <row r="27" customFormat="false" ht="13.5" hidden="false" customHeight="false" outlineLevel="0" collapsed="false">
      <c r="A27" s="83"/>
    </row>
    <row r="28" customFormat="false" ht="27" hidden="false" customHeight="false" outlineLevel="0" collapsed="false">
      <c r="A28" s="360" t="s">
        <v>237</v>
      </c>
      <c r="B28" s="328" t="s">
        <v>238</v>
      </c>
      <c r="C28" s="328" t="n">
        <v>2005</v>
      </c>
      <c r="D28" s="328" t="n">
        <v>2006</v>
      </c>
      <c r="E28" s="328" t="n">
        <v>2007</v>
      </c>
      <c r="F28" s="328" t="n">
        <v>2008</v>
      </c>
      <c r="G28" s="328" t="n">
        <v>2009</v>
      </c>
      <c r="H28" s="328" t="n">
        <v>2010</v>
      </c>
    </row>
    <row r="29" customFormat="false" ht="13.5" hidden="false" customHeight="true" outlineLevel="0" collapsed="false">
      <c r="A29" s="474" t="s">
        <v>239</v>
      </c>
      <c r="B29" s="475" t="s">
        <v>240</v>
      </c>
      <c r="C29" s="476" t="n">
        <f aca="false">'5.RENOVABLES'!C33</f>
        <v>2</v>
      </c>
      <c r="D29" s="476" t="n">
        <f aca="false">'5.RENOVABLES'!D33</f>
        <v>2</v>
      </c>
      <c r="E29" s="476" t="n">
        <f aca="false">'5.RENOVABLES'!E33</f>
        <v>2</v>
      </c>
      <c r="F29" s="476" t="n">
        <f aca="false">'5.RENOVABLES'!F33</f>
        <v>6</v>
      </c>
      <c r="G29" s="476" t="n">
        <f aca="false">'5.RENOVABLES'!G33</f>
        <v>6</v>
      </c>
      <c r="H29" s="476" t="n">
        <f aca="false">'5.RENOVABLES'!H33</f>
        <v>6</v>
      </c>
    </row>
    <row r="30" customFormat="false" ht="27" hidden="false" customHeight="false" outlineLevel="0" collapsed="false">
      <c r="A30" s="474"/>
      <c r="B30" s="475" t="s">
        <v>241</v>
      </c>
      <c r="C30" s="477" t="n">
        <f aca="false">'5.RENOVABLES'!C34</f>
        <v>9.1</v>
      </c>
      <c r="D30" s="477" t="n">
        <f aca="false">'5.RENOVABLES'!D34</f>
        <v>9.1</v>
      </c>
      <c r="E30" s="477" t="n">
        <f aca="false">'5.RENOVABLES'!E34</f>
        <v>9.1</v>
      </c>
      <c r="F30" s="477" t="n">
        <f aca="false">'5.RENOVABLES'!F34</f>
        <v>60.1</v>
      </c>
      <c r="G30" s="477" t="n">
        <f aca="false">'5.RENOVABLES'!G34</f>
        <v>60.1</v>
      </c>
      <c r="H30" s="477" t="n">
        <f aca="false">'5.RENOVABLES'!H34</f>
        <v>60.1</v>
      </c>
    </row>
    <row r="31" customFormat="false" ht="13.5" hidden="false" customHeight="true" outlineLevel="0" collapsed="false">
      <c r="A31" s="474" t="s">
        <v>242</v>
      </c>
      <c r="B31" s="475" t="s">
        <v>240</v>
      </c>
      <c r="C31" s="476" t="n">
        <f aca="false">'5.RENOVABLES'!C35</f>
        <v>0</v>
      </c>
      <c r="D31" s="476" t="n">
        <f aca="false">'5.RENOVABLES'!D35</f>
        <v>0</v>
      </c>
      <c r="E31" s="476" t="n">
        <f aca="false">'5.RENOVABLES'!E35</f>
        <v>0</v>
      </c>
      <c r="F31" s="476" t="n">
        <f aca="false">'5.RENOVABLES'!F35</f>
        <v>0</v>
      </c>
      <c r="G31" s="476" t="n">
        <f aca="false">'5.RENOVABLES'!G35</f>
        <v>0</v>
      </c>
      <c r="H31" s="476" t="n">
        <f aca="false">'5.RENOVABLES'!H35</f>
        <v>0</v>
      </c>
    </row>
    <row r="32" customFormat="false" ht="27" hidden="false" customHeight="false" outlineLevel="0" collapsed="false">
      <c r="A32" s="474"/>
      <c r="B32" s="475" t="s">
        <v>811</v>
      </c>
      <c r="C32" s="477" t="n">
        <f aca="false">'5.RENOVABLES'!C36</f>
        <v>0</v>
      </c>
      <c r="D32" s="477" t="n">
        <f aca="false">'5.RENOVABLES'!D36</f>
        <v>0</v>
      </c>
      <c r="E32" s="477" t="n">
        <f aca="false">'5.RENOVABLES'!E36</f>
        <v>0</v>
      </c>
      <c r="F32" s="477" t="n">
        <f aca="false">'5.RENOVABLES'!F36</f>
        <v>0</v>
      </c>
      <c r="G32" s="477" t="n">
        <f aca="false">'5.RENOVABLES'!G36</f>
        <v>0</v>
      </c>
      <c r="H32" s="477" t="n">
        <f aca="false">'5.RENOVABLES'!H36</f>
        <v>0</v>
      </c>
    </row>
    <row r="33" customFormat="false" ht="13.5" hidden="false" customHeight="false" outlineLevel="0" collapsed="false">
      <c r="A33" s="483"/>
      <c r="B33" s="483"/>
      <c r="C33" s="484"/>
      <c r="D33" s="484"/>
      <c r="E33" s="484"/>
      <c r="F33" s="484"/>
      <c r="G33" s="484"/>
      <c r="H33" s="484"/>
    </row>
    <row r="34" customFormat="false" ht="13.5" hidden="false" customHeight="false" outlineLevel="0" collapsed="false">
      <c r="A34" s="433" t="s">
        <v>816</v>
      </c>
      <c r="B34" s="483"/>
      <c r="C34" s="484"/>
      <c r="D34" s="484"/>
      <c r="E34" s="484"/>
      <c r="F34" s="484"/>
      <c r="G34" s="484"/>
      <c r="H34" s="484"/>
    </row>
    <row r="35" customFormat="false" ht="13.5" hidden="false" customHeight="false" outlineLevel="0" collapsed="false">
      <c r="A35" s="83"/>
    </row>
    <row r="36" customFormat="false" ht="27" hidden="false" customHeight="false" outlineLevel="0" collapsed="false">
      <c r="B36" s="360" t="s">
        <v>31</v>
      </c>
      <c r="C36" s="328" t="n">
        <v>2005</v>
      </c>
      <c r="D36" s="328" t="n">
        <v>2006</v>
      </c>
      <c r="E36" s="328" t="n">
        <v>2007</v>
      </c>
      <c r="F36" s="328" t="n">
        <v>2008</v>
      </c>
      <c r="G36" s="328" t="n">
        <v>2009</v>
      </c>
      <c r="H36" s="328" t="n">
        <v>2010</v>
      </c>
      <c r="I36" s="360" t="s">
        <v>813</v>
      </c>
    </row>
    <row r="37" customFormat="false" ht="13.5" hidden="false" customHeight="false" outlineLevel="0" collapsed="false">
      <c r="B37" s="474" t="s">
        <v>244</v>
      </c>
      <c r="C37" s="485" t="n">
        <f aca="false">'5.RENOVABLES'!B39</f>
        <v>11.83</v>
      </c>
      <c r="D37" s="485" t="n">
        <f aca="false">'5.RENOVABLES'!C39</f>
        <v>11.83</v>
      </c>
      <c r="E37" s="485" t="n">
        <f aca="false">'5.RENOVABLES'!D39</f>
        <v>11.83</v>
      </c>
      <c r="F37" s="485" t="n">
        <f aca="false">'5.RENOVABLES'!E39</f>
        <v>33.93</v>
      </c>
      <c r="G37" s="485" t="n">
        <f aca="false">'5.RENOVABLES'!F39</f>
        <v>78.13</v>
      </c>
      <c r="H37" s="485" t="n">
        <f aca="false">'5.RENOVABLES'!G39</f>
        <v>78.13</v>
      </c>
      <c r="I37" s="485" t="n">
        <v>100</v>
      </c>
    </row>
    <row r="38" customFormat="false" ht="13.5" hidden="false" customHeight="false" outlineLevel="0" collapsed="false">
      <c r="B38" s="474" t="s">
        <v>246</v>
      </c>
      <c r="C38" s="485" t="n">
        <f aca="false">'5.RENOVABLES'!B41</f>
        <v>0</v>
      </c>
      <c r="D38" s="485" t="n">
        <f aca="false">'5.RENOVABLES'!C41</f>
        <v>0</v>
      </c>
      <c r="E38" s="485" t="n">
        <f aca="false">'5.RENOVABLES'!D41</f>
        <v>0</v>
      </c>
      <c r="F38" s="485" t="n">
        <f aca="false">'5.RENOVABLES'!E41</f>
        <v>0</v>
      </c>
      <c r="G38" s="485" t="n">
        <f aca="false">'5.RENOVABLES'!F41</f>
        <v>0</v>
      </c>
      <c r="H38" s="485" t="n">
        <f aca="false">'5.RENOVABLES'!G41</f>
        <v>0</v>
      </c>
      <c r="I38" s="485" t="n">
        <v>0</v>
      </c>
    </row>
    <row r="39" customFormat="false" ht="13.5" hidden="false" customHeight="false" outlineLevel="0" collapsed="false">
      <c r="B39" s="486" t="s">
        <v>175</v>
      </c>
      <c r="C39" s="485" t="n">
        <f aca="false">'5.RENOVABLES'!B43</f>
        <v>11.83</v>
      </c>
      <c r="D39" s="485" t="n">
        <f aca="false">'5.RENOVABLES'!C43</f>
        <v>11.83</v>
      </c>
      <c r="E39" s="485" t="n">
        <f aca="false">'5.RENOVABLES'!D43</f>
        <v>11.83</v>
      </c>
      <c r="F39" s="485" t="n">
        <f aca="false">'5.RENOVABLES'!E43</f>
        <v>33.93</v>
      </c>
      <c r="G39" s="485" t="n">
        <f aca="false">'5.RENOVABLES'!F43</f>
        <v>78.13</v>
      </c>
      <c r="H39" s="485" t="n">
        <f aca="false">'5.RENOVABLES'!G43</f>
        <v>78.13</v>
      </c>
      <c r="I39" s="485" t="n">
        <v>100</v>
      </c>
    </row>
    <row r="41" customFormat="false" ht="13.5" hidden="false" customHeight="false" outlineLevel="0" collapsed="false">
      <c r="A41" s="83" t="s">
        <v>817</v>
      </c>
    </row>
    <row r="43" customFormat="false" ht="13.5" hidden="false" customHeight="false" outlineLevel="0" collapsed="false">
      <c r="B43" s="360" t="s">
        <v>248</v>
      </c>
      <c r="C43" s="360" t="n">
        <v>2005</v>
      </c>
      <c r="D43" s="360" t="n">
        <v>2006</v>
      </c>
      <c r="E43" s="360" t="n">
        <v>2007</v>
      </c>
      <c r="F43" s="360" t="n">
        <v>2008</v>
      </c>
      <c r="G43" s="360" t="n">
        <v>2009</v>
      </c>
      <c r="H43" s="360" t="n">
        <v>2010</v>
      </c>
    </row>
    <row r="44" customFormat="false" ht="13.5" hidden="false" customHeight="false" outlineLevel="0" collapsed="false">
      <c r="B44" s="474" t="s">
        <v>244</v>
      </c>
      <c r="C44" s="344" t="n">
        <f aca="false">'5.RENOVABLES'!B46</f>
        <v>9.982154</v>
      </c>
      <c r="D44" s="344" t="n">
        <f aca="false">'5.RENOVABLES'!C46</f>
        <v>10.746372</v>
      </c>
      <c r="E44" s="344" t="n">
        <f aca="false">'5.RENOVABLES'!D46</f>
        <v>9.713613</v>
      </c>
      <c r="F44" s="344" t="n">
        <f aca="false">'5.RENOVABLES'!E46</f>
        <v>28.066896</v>
      </c>
      <c r="G44" s="344" t="n">
        <f aca="false">'5.RENOVABLES'!F46</f>
        <v>66.262053</v>
      </c>
      <c r="H44" s="344" t="n">
        <f aca="false">'5.RENOVABLES'!G46</f>
        <v>66.262053</v>
      </c>
    </row>
    <row r="45" customFormat="false" ht="13.5" hidden="false" customHeight="false" outlineLevel="0" collapsed="false">
      <c r="B45" s="486" t="s">
        <v>175</v>
      </c>
      <c r="C45" s="344" t="n">
        <f aca="false">'5.RENOVABLES'!B50</f>
        <v>9.982154</v>
      </c>
      <c r="D45" s="344" t="n">
        <f aca="false">'5.RENOVABLES'!C50</f>
        <v>10.746372</v>
      </c>
      <c r="E45" s="344" t="n">
        <f aca="false">'5.RENOVABLES'!D50</f>
        <v>9.713613</v>
      </c>
      <c r="F45" s="344" t="n">
        <f aca="false">'5.RENOVABLES'!E50</f>
        <v>28.066896</v>
      </c>
      <c r="G45" s="344" t="n">
        <f aca="false">'5.RENOVABLES'!F50</f>
        <v>66.262053</v>
      </c>
      <c r="H45" s="344" t="n">
        <f aca="false">'5.RENOVABLES'!G50</f>
        <v>66.262053</v>
      </c>
    </row>
    <row r="48" customFormat="false" ht="13.5" hidden="false" customHeight="false" outlineLevel="0" collapsed="false">
      <c r="A48" s="473" t="s">
        <v>818</v>
      </c>
      <c r="B48" s="473"/>
    </row>
    <row r="49" customFormat="false" ht="13.5" hidden="false" customHeight="false" outlineLevel="0" collapsed="false">
      <c r="A49" s="83"/>
    </row>
    <row r="50" customFormat="false" ht="27" hidden="false" customHeight="false" outlineLevel="0" collapsed="false">
      <c r="A50" s="360" t="s">
        <v>237</v>
      </c>
      <c r="B50" s="328" t="s">
        <v>238</v>
      </c>
      <c r="C50" s="328" t="n">
        <v>2005</v>
      </c>
      <c r="D50" s="328" t="n">
        <v>2006</v>
      </c>
      <c r="E50" s="328" t="n">
        <v>2007</v>
      </c>
      <c r="F50" s="328" t="n">
        <v>2008</v>
      </c>
      <c r="G50" s="328" t="n">
        <v>2009</v>
      </c>
      <c r="H50" s="328" t="n">
        <v>2010</v>
      </c>
    </row>
    <row r="51" customFormat="false" ht="13.5" hidden="false" customHeight="true" outlineLevel="0" collapsed="false">
      <c r="A51" s="474" t="s">
        <v>239</v>
      </c>
      <c r="B51" s="475" t="s">
        <v>240</v>
      </c>
      <c r="C51" s="476" t="n">
        <f aca="false">'5.RENOVABLES'!C56</f>
        <v>2</v>
      </c>
      <c r="D51" s="476" t="n">
        <f aca="false">'5.RENOVABLES'!D56</f>
        <v>2</v>
      </c>
      <c r="E51" s="476" t="n">
        <f aca="false">'5.RENOVABLES'!E56</f>
        <v>2</v>
      </c>
      <c r="F51" s="476" t="n">
        <f aca="false">'5.RENOVABLES'!F56</f>
        <v>6</v>
      </c>
      <c r="G51" s="476" t="n">
        <f aca="false">'5.RENOVABLES'!G56</f>
        <v>6</v>
      </c>
      <c r="H51" s="476" t="n">
        <f aca="false">'5.RENOVABLES'!H56</f>
        <v>6</v>
      </c>
    </row>
    <row r="52" customFormat="false" ht="27" hidden="false" customHeight="false" outlineLevel="0" collapsed="false">
      <c r="A52" s="474"/>
      <c r="B52" s="475" t="s">
        <v>241</v>
      </c>
      <c r="C52" s="477" t="n">
        <f aca="false">'5.RENOVABLES'!C57</f>
        <v>9.1</v>
      </c>
      <c r="D52" s="477" t="n">
        <f aca="false">'5.RENOVABLES'!D57</f>
        <v>9.1</v>
      </c>
      <c r="E52" s="477" t="n">
        <f aca="false">'5.RENOVABLES'!E57</f>
        <v>9.1</v>
      </c>
      <c r="F52" s="477" t="n">
        <f aca="false">'5.RENOVABLES'!F57</f>
        <v>60.1</v>
      </c>
      <c r="G52" s="477" t="n">
        <f aca="false">'5.RENOVABLES'!G57</f>
        <v>60.1</v>
      </c>
      <c r="H52" s="477" t="n">
        <f aca="false">'5.RENOVABLES'!H57</f>
        <v>60.1</v>
      </c>
    </row>
    <row r="53" customFormat="false" ht="13.5" hidden="false" customHeight="true" outlineLevel="0" collapsed="false">
      <c r="A53" s="474" t="s">
        <v>242</v>
      </c>
      <c r="B53" s="475" t="s">
        <v>240</v>
      </c>
      <c r="C53" s="476" t="n">
        <f aca="false">'5.RENOVABLES'!C58</f>
        <v>0</v>
      </c>
      <c r="D53" s="476" t="n">
        <f aca="false">'5.RENOVABLES'!D58</f>
        <v>0</v>
      </c>
      <c r="E53" s="476" t="n">
        <f aca="false">'5.RENOVABLES'!E58</f>
        <v>0</v>
      </c>
      <c r="F53" s="476" t="n">
        <f aca="false">'5.RENOVABLES'!F58</f>
        <v>0</v>
      </c>
      <c r="G53" s="476" t="n">
        <f aca="false">'5.RENOVABLES'!G58</f>
        <v>0</v>
      </c>
      <c r="H53" s="476" t="n">
        <f aca="false">'5.RENOVABLES'!H58</f>
        <v>0</v>
      </c>
    </row>
    <row r="54" customFormat="false" ht="27" hidden="false" customHeight="false" outlineLevel="0" collapsed="false">
      <c r="A54" s="474"/>
      <c r="B54" s="475" t="s">
        <v>811</v>
      </c>
      <c r="C54" s="477" t="n">
        <f aca="false">'5.RENOVABLES'!C59</f>
        <v>0</v>
      </c>
      <c r="D54" s="477" t="n">
        <f aca="false">'5.RENOVABLES'!D59</f>
        <v>0</v>
      </c>
      <c r="E54" s="477" t="n">
        <f aca="false">'5.RENOVABLES'!E59</f>
        <v>0</v>
      </c>
      <c r="F54" s="477" t="n">
        <f aca="false">'5.RENOVABLES'!F59</f>
        <v>0</v>
      </c>
      <c r="G54" s="477" t="n">
        <f aca="false">'5.RENOVABLES'!G59</f>
        <v>0</v>
      </c>
      <c r="H54" s="477" t="n">
        <f aca="false">'5.RENOVABLES'!H59</f>
        <v>0</v>
      </c>
    </row>
    <row r="55" customFormat="false" ht="13.5" hidden="false" customHeight="false" outlineLevel="0" collapsed="false">
      <c r="A55" s="483"/>
      <c r="B55" s="483"/>
      <c r="C55" s="484"/>
      <c r="D55" s="484"/>
      <c r="E55" s="484"/>
      <c r="F55" s="484"/>
      <c r="G55" s="484"/>
      <c r="H55" s="484"/>
    </row>
    <row r="56" customFormat="false" ht="13.5" hidden="false" customHeight="false" outlineLevel="0" collapsed="false">
      <c r="A56" s="433" t="s">
        <v>819</v>
      </c>
      <c r="B56" s="483"/>
      <c r="C56" s="484"/>
      <c r="D56" s="484"/>
      <c r="E56" s="484"/>
      <c r="F56" s="484"/>
      <c r="G56" s="484"/>
      <c r="H56" s="484"/>
    </row>
    <row r="57" customFormat="false" ht="13.5" hidden="false" customHeight="false" outlineLevel="0" collapsed="false">
      <c r="A57" s="83"/>
    </row>
    <row r="58" customFormat="false" ht="27" hidden="false" customHeight="false" outlineLevel="0" collapsed="false">
      <c r="B58" s="360" t="s">
        <v>31</v>
      </c>
      <c r="C58" s="328" t="n">
        <v>2005</v>
      </c>
      <c r="D58" s="328" t="n">
        <v>2006</v>
      </c>
      <c r="E58" s="328" t="n">
        <v>2007</v>
      </c>
      <c r="F58" s="328" t="n">
        <v>2008</v>
      </c>
      <c r="G58" s="328" t="n">
        <v>2009</v>
      </c>
      <c r="H58" s="328" t="n">
        <v>2010</v>
      </c>
      <c r="I58" s="360" t="s">
        <v>813</v>
      </c>
    </row>
    <row r="59" customFormat="false" ht="13.5" hidden="false" customHeight="false" outlineLevel="0" collapsed="false">
      <c r="B59" s="474" t="s">
        <v>244</v>
      </c>
      <c r="C59" s="485" t="n">
        <f aca="false">'5.RENOVABLES'!B62</f>
        <v>11.83</v>
      </c>
      <c r="D59" s="485" t="n">
        <f aca="false">'5.RENOVABLES'!C62</f>
        <v>11.83</v>
      </c>
      <c r="E59" s="485" t="n">
        <f aca="false">'5.RENOVABLES'!D62</f>
        <v>11.83</v>
      </c>
      <c r="F59" s="485" t="n">
        <f aca="false">'5.RENOVABLES'!E62</f>
        <v>33.93</v>
      </c>
      <c r="G59" s="485" t="n">
        <f aca="false">'5.RENOVABLES'!F62</f>
        <v>78.13</v>
      </c>
      <c r="H59" s="485" t="n">
        <f aca="false">'5.RENOVABLES'!G62</f>
        <v>78.13</v>
      </c>
      <c r="I59" s="485" t="n">
        <v>0</v>
      </c>
    </row>
    <row r="60" customFormat="false" ht="13.5" hidden="false" customHeight="false" outlineLevel="0" collapsed="false">
      <c r="B60" s="474" t="s">
        <v>246</v>
      </c>
      <c r="C60" s="485" t="n">
        <f aca="false">'5.RENOVABLES'!B64</f>
        <v>0</v>
      </c>
      <c r="D60" s="485" t="n">
        <f aca="false">'5.RENOVABLES'!C64</f>
        <v>0</v>
      </c>
      <c r="E60" s="485" t="n">
        <f aca="false">'5.RENOVABLES'!D64</f>
        <v>0</v>
      </c>
      <c r="F60" s="485" t="n">
        <f aca="false">'5.RENOVABLES'!E64</f>
        <v>0</v>
      </c>
      <c r="G60" s="485" t="n">
        <f aca="false">'5.RENOVABLES'!F64</f>
        <v>0</v>
      </c>
      <c r="H60" s="485" t="n">
        <f aca="false">'5.RENOVABLES'!G64</f>
        <v>0</v>
      </c>
      <c r="I60" s="485" t="n">
        <v>0</v>
      </c>
    </row>
    <row r="61" customFormat="false" ht="13.5" hidden="false" customHeight="false" outlineLevel="0" collapsed="false">
      <c r="B61" s="486" t="s">
        <v>175</v>
      </c>
      <c r="C61" s="485" t="n">
        <f aca="false">'5.RENOVABLES'!B66</f>
        <v>11.83</v>
      </c>
      <c r="D61" s="485" t="n">
        <f aca="false">'5.RENOVABLES'!C66</f>
        <v>11.83</v>
      </c>
      <c r="E61" s="485" t="n">
        <f aca="false">'5.RENOVABLES'!D66</f>
        <v>11.83</v>
      </c>
      <c r="F61" s="485" t="n">
        <f aca="false">'5.RENOVABLES'!E66</f>
        <v>33.93</v>
      </c>
      <c r="G61" s="485" t="n">
        <f aca="false">'5.RENOVABLES'!F66</f>
        <v>78.13</v>
      </c>
      <c r="H61" s="485" t="n">
        <f aca="false">'5.RENOVABLES'!G66</f>
        <v>78.13</v>
      </c>
      <c r="I61" s="485" t="n">
        <v>0</v>
      </c>
    </row>
    <row r="63" customFormat="false" ht="13.5" hidden="false" customHeight="false" outlineLevel="0" collapsed="false">
      <c r="A63" s="83" t="s">
        <v>820</v>
      </c>
    </row>
    <row r="65" customFormat="false" ht="13.5" hidden="false" customHeight="false" outlineLevel="0" collapsed="false">
      <c r="B65" s="360" t="s">
        <v>248</v>
      </c>
      <c r="C65" s="360" t="n">
        <v>2005</v>
      </c>
      <c r="D65" s="360" t="n">
        <v>2006</v>
      </c>
      <c r="E65" s="360" t="n">
        <v>2007</v>
      </c>
      <c r="F65" s="360" t="n">
        <v>2008</v>
      </c>
      <c r="G65" s="360" t="n">
        <v>2009</v>
      </c>
      <c r="H65" s="360" t="n">
        <v>2010</v>
      </c>
    </row>
    <row r="66" customFormat="false" ht="13.5" hidden="false" customHeight="false" outlineLevel="0" collapsed="false">
      <c r="B66" s="474" t="s">
        <v>244</v>
      </c>
      <c r="C66" s="344" t="n">
        <f aca="false">'5.RENOVABLES'!B69</f>
        <v>9.982154</v>
      </c>
      <c r="D66" s="344" t="n">
        <f aca="false">'5.RENOVABLES'!C69</f>
        <v>10.746372</v>
      </c>
      <c r="E66" s="344" t="n">
        <f aca="false">'5.RENOVABLES'!D69</f>
        <v>9.713613</v>
      </c>
      <c r="F66" s="344" t="n">
        <f aca="false">'5.RENOVABLES'!E69</f>
        <v>28.066896</v>
      </c>
      <c r="G66" s="344" t="n">
        <f aca="false">'5.RENOVABLES'!F69</f>
        <v>66.262053</v>
      </c>
      <c r="H66" s="344" t="n">
        <f aca="false">'5.RENOVABLES'!G69</f>
        <v>66.262053</v>
      </c>
    </row>
    <row r="67" customFormat="false" ht="13.5" hidden="false" customHeight="false" outlineLevel="0" collapsed="false">
      <c r="B67" s="486" t="s">
        <v>175</v>
      </c>
      <c r="C67" s="344" t="n">
        <f aca="false">'5.RENOVABLES'!B73</f>
        <v>9.982154</v>
      </c>
      <c r="D67" s="344" t="n">
        <f aca="false">'5.RENOVABLES'!C73</f>
        <v>10.746372</v>
      </c>
      <c r="E67" s="344" t="n">
        <f aca="false">'5.RENOVABLES'!D73</f>
        <v>9.713613</v>
      </c>
      <c r="F67" s="344" t="n">
        <f aca="false">'5.RENOVABLES'!E73</f>
        <v>28.066896</v>
      </c>
      <c r="G67" s="344" t="n">
        <f aca="false">'5.RENOVABLES'!F73</f>
        <v>66.262053</v>
      </c>
      <c r="H67" s="344" t="n">
        <f aca="false">'5.RENOVABLES'!G73</f>
        <v>66.262053</v>
      </c>
    </row>
  </sheetData>
  <mergeCells count="6">
    <mergeCell ref="A7:A8"/>
    <mergeCell ref="A9:A10"/>
    <mergeCell ref="A29:A30"/>
    <mergeCell ref="A31:A32"/>
    <mergeCell ref="A51:A52"/>
    <mergeCell ref="A53:A54"/>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4:E2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24" activeCellId="0" sqref="D24"/>
    </sheetView>
  </sheetViews>
  <sheetFormatPr defaultRowHeight="12.75"/>
  <cols>
    <col collapsed="false" hidden="false" max="1" min="1" style="0" width="15.6581632653061"/>
    <col collapsed="false" hidden="false" max="3" min="2" style="0" width="24.3010204081633"/>
    <col collapsed="false" hidden="false" max="4" min="4" style="0" width="77.2142857142857"/>
    <col collapsed="false" hidden="false" max="1025" min="5" style="0" width="10.530612244898"/>
  </cols>
  <sheetData>
    <row r="4" customFormat="false" ht="12.75" hidden="false" customHeight="false" outlineLevel="0" collapsed="false">
      <c r="A4" s="31" t="s">
        <v>30</v>
      </c>
      <c r="B4" s="31" t="s">
        <v>31</v>
      </c>
      <c r="C4" s="31" t="s">
        <v>32</v>
      </c>
      <c r="D4" s="31" t="s">
        <v>33</v>
      </c>
    </row>
    <row r="5" customFormat="false" ht="14.1" hidden="false" customHeight="true" outlineLevel="0" collapsed="false"/>
    <row r="6" customFormat="false" ht="15" hidden="false" customHeight="true" outlineLevel="0" collapsed="false">
      <c r="A6" s="32" t="s">
        <v>34</v>
      </c>
      <c r="B6" s="33" t="s">
        <v>35</v>
      </c>
      <c r="C6" s="33" t="s">
        <v>36</v>
      </c>
      <c r="D6" s="34"/>
    </row>
    <row r="7" customFormat="false" ht="15" hidden="false" customHeight="true" outlineLevel="0" collapsed="false">
      <c r="A7" s="32"/>
      <c r="B7" s="35" t="s">
        <v>37</v>
      </c>
      <c r="C7" s="35" t="s">
        <v>38</v>
      </c>
      <c r="D7" s="36"/>
    </row>
    <row r="8" customFormat="false" ht="15" hidden="false" customHeight="true" outlineLevel="0" collapsed="false">
      <c r="A8" s="32"/>
      <c r="B8" s="37" t="s">
        <v>39</v>
      </c>
      <c r="C8" s="38"/>
      <c r="D8" s="39" t="s">
        <v>40</v>
      </c>
    </row>
    <row r="9" customFormat="false" ht="25.5" hidden="false" customHeight="true" outlineLevel="0" collapsed="false">
      <c r="A9" s="40" t="s">
        <v>41</v>
      </c>
      <c r="B9" s="41" t="s">
        <v>42</v>
      </c>
      <c r="C9" s="41" t="s">
        <v>36</v>
      </c>
      <c r="D9" s="42" t="s">
        <v>43</v>
      </c>
    </row>
    <row r="10" customFormat="false" ht="15" hidden="false" customHeight="true" outlineLevel="0" collapsed="false">
      <c r="A10" s="40"/>
      <c r="B10" s="43" t="s">
        <v>44</v>
      </c>
      <c r="C10" s="44"/>
      <c r="D10" s="45" t="s">
        <v>45</v>
      </c>
    </row>
    <row r="11" customFormat="false" ht="25.5" hidden="false" customHeight="false" outlineLevel="0" collapsed="false">
      <c r="A11" s="40"/>
      <c r="B11" s="43" t="s">
        <v>46</v>
      </c>
      <c r="C11" s="43" t="s">
        <v>47</v>
      </c>
      <c r="D11" s="46" t="s">
        <v>48</v>
      </c>
    </row>
    <row r="12" customFormat="false" ht="26.25" hidden="false" customHeight="false" outlineLevel="0" collapsed="false">
      <c r="A12" s="40"/>
      <c r="B12" s="47" t="s">
        <v>49</v>
      </c>
      <c r="C12" s="48"/>
      <c r="D12" s="49" t="s">
        <v>50</v>
      </c>
    </row>
    <row r="13" customFormat="false" ht="13.5" hidden="false" customHeight="false" outlineLevel="0" collapsed="false">
      <c r="A13" s="50" t="s">
        <v>51</v>
      </c>
      <c r="B13" s="51"/>
      <c r="C13" s="51"/>
      <c r="D13" s="52" t="s">
        <v>52</v>
      </c>
    </row>
    <row r="14" customFormat="false" ht="15" hidden="false" customHeight="true" outlineLevel="0" collapsed="false">
      <c r="A14" s="53" t="s">
        <v>53</v>
      </c>
      <c r="B14" s="41" t="s">
        <v>44</v>
      </c>
      <c r="C14" s="41" t="s">
        <v>54</v>
      </c>
      <c r="D14" s="54" t="s">
        <v>55</v>
      </c>
    </row>
    <row r="15" customFormat="false" ht="15" hidden="false" customHeight="true" outlineLevel="0" collapsed="false">
      <c r="A15" s="53"/>
      <c r="B15" s="43" t="s">
        <v>56</v>
      </c>
      <c r="C15" s="43" t="s">
        <v>54</v>
      </c>
      <c r="D15" s="45" t="s">
        <v>57</v>
      </c>
    </row>
    <row r="16" customFormat="false" ht="15" hidden="false" customHeight="true" outlineLevel="0" collapsed="false">
      <c r="A16" s="53"/>
      <c r="B16" s="43" t="s">
        <v>49</v>
      </c>
      <c r="C16" s="43" t="s">
        <v>54</v>
      </c>
      <c r="D16" s="45" t="s">
        <v>58</v>
      </c>
    </row>
    <row r="17" customFormat="false" ht="15" hidden="false" customHeight="true" outlineLevel="0" collapsed="false">
      <c r="A17" s="53"/>
      <c r="B17" s="47" t="s">
        <v>42</v>
      </c>
      <c r="C17" s="47" t="s">
        <v>54</v>
      </c>
      <c r="D17" s="55" t="s">
        <v>59</v>
      </c>
      <c r="E17" s="56"/>
    </row>
    <row r="18" customFormat="false" ht="15" hidden="false" customHeight="true" outlineLevel="0" collapsed="false">
      <c r="A18" s="40" t="s">
        <v>60</v>
      </c>
      <c r="B18" s="54" t="s">
        <v>61</v>
      </c>
      <c r="C18" s="54"/>
      <c r="D18" s="54"/>
    </row>
    <row r="19" customFormat="false" ht="15" hidden="false" customHeight="true" outlineLevel="0" collapsed="false">
      <c r="A19" s="40"/>
      <c r="B19" s="45" t="s">
        <v>62</v>
      </c>
      <c r="C19" s="45"/>
      <c r="D19" s="45"/>
    </row>
    <row r="20" customFormat="false" ht="25.5" hidden="false" customHeight="false" outlineLevel="0" collapsed="false">
      <c r="A20" s="40"/>
      <c r="B20" s="57" t="s">
        <v>44</v>
      </c>
      <c r="C20" s="43" t="s">
        <v>63</v>
      </c>
      <c r="D20" s="58" t="s">
        <v>64</v>
      </c>
    </row>
    <row r="21" customFormat="false" ht="15" hidden="false" customHeight="true" outlineLevel="0" collapsed="false">
      <c r="A21" s="40"/>
      <c r="B21" s="57" t="s">
        <v>65</v>
      </c>
      <c r="C21" s="43" t="s">
        <v>63</v>
      </c>
      <c r="D21" s="46" t="s">
        <v>66</v>
      </c>
    </row>
    <row r="22" customFormat="false" ht="15" hidden="false" customHeight="true" outlineLevel="0" collapsed="false">
      <c r="A22" s="40"/>
      <c r="B22" s="59" t="s">
        <v>56</v>
      </c>
      <c r="C22" s="43" t="s">
        <v>63</v>
      </c>
      <c r="D22" s="60" t="s">
        <v>67</v>
      </c>
      <c r="E22" s="61"/>
    </row>
    <row r="23" customFormat="false" ht="25.5" hidden="false" customHeight="false" outlineLevel="0" collapsed="false">
      <c r="A23" s="40"/>
      <c r="B23" s="59" t="s">
        <v>49</v>
      </c>
      <c r="C23" s="43" t="s">
        <v>63</v>
      </c>
      <c r="D23" s="46" t="s">
        <v>68</v>
      </c>
    </row>
    <row r="24" customFormat="false" ht="26.25" hidden="false" customHeight="false" outlineLevel="0" collapsed="false">
      <c r="A24" s="40"/>
      <c r="B24" s="62" t="s">
        <v>42</v>
      </c>
      <c r="C24" s="43" t="s">
        <v>63</v>
      </c>
      <c r="D24" s="49" t="s">
        <v>69</v>
      </c>
    </row>
    <row r="25" customFormat="false" ht="15" hidden="false" customHeight="true" outlineLevel="0" collapsed="false">
      <c r="A25" s="63" t="s">
        <v>70</v>
      </c>
      <c r="B25" s="63"/>
      <c r="C25" s="64" t="s">
        <v>71</v>
      </c>
      <c r="D25" s="65" t="s">
        <v>72</v>
      </c>
    </row>
    <row r="26" customFormat="false" ht="15" hidden="false" customHeight="true" outlineLevel="0" collapsed="false">
      <c r="A26" s="63" t="s">
        <v>73</v>
      </c>
      <c r="B26" s="66" t="s">
        <v>74</v>
      </c>
      <c r="C26" s="41" t="s">
        <v>75</v>
      </c>
      <c r="D26" s="42" t="s">
        <v>76</v>
      </c>
    </row>
    <row r="27" customFormat="false" ht="26.25" hidden="false" customHeight="false" outlineLevel="0" collapsed="false">
      <c r="A27" s="63"/>
      <c r="B27" s="67" t="s">
        <v>77</v>
      </c>
      <c r="C27" s="68" t="s">
        <v>78</v>
      </c>
      <c r="D27" s="60" t="s">
        <v>79</v>
      </c>
    </row>
    <row r="28" customFormat="false" ht="13.5" hidden="false" customHeight="false" outlineLevel="0" collapsed="false">
      <c r="A28" s="69" t="s">
        <v>80</v>
      </c>
      <c r="B28" s="70" t="s">
        <v>81</v>
      </c>
      <c r="C28" s="71" t="s">
        <v>82</v>
      </c>
      <c r="D28" s="72" t="s">
        <v>83</v>
      </c>
    </row>
  </sheetData>
  <mergeCells count="8">
    <mergeCell ref="A6:A8"/>
    <mergeCell ref="A9:A12"/>
    <mergeCell ref="A14:A17"/>
    <mergeCell ref="A18:A24"/>
    <mergeCell ref="B18:D18"/>
    <mergeCell ref="B19:D19"/>
    <mergeCell ref="A25:B25"/>
    <mergeCell ref="A26:A27"/>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sheetPr filterMode="false">
    <tabColor rgb="FFC00000"/>
    <pageSetUpPr fitToPage="false"/>
  </sheetPr>
  <dimension ref="A1"/>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58" activeCellId="0" sqref="G258"/>
    </sheetView>
  </sheetViews>
  <sheetFormatPr defaultRowHeight="12.75"/>
  <cols>
    <col collapsed="false" hidden="false" max="1" min="1" style="0" width="98.4081632653061"/>
    <col collapsed="false" hidden="false" max="17" min="2" style="0" width="18.4948979591837"/>
    <col collapsed="false" hidden="false" max="1025" min="18" style="0" width="10.530612244898"/>
  </cols>
  <sheetData>
    <row r="1" s="289" customFormat="true" ht="15" hidden="false" customHeight="false" outlineLevel="0" collapsed="false"/>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21.xml><?xml version="1.0" encoding="utf-8"?>
<worksheet xmlns="http://schemas.openxmlformats.org/spreadsheetml/2006/main" xmlns:r="http://schemas.openxmlformats.org/officeDocument/2006/relationships">
  <sheetPr filterMode="false">
    <tabColor rgb="FFFF0000"/>
    <pageSetUpPr fitToPage="false"/>
  </sheetPr>
  <dimension ref="A1"/>
  <sheetViews>
    <sheetView windowProtection="false" showFormulas="false" showGridLines="true" showRowColHeaders="true" showZeros="true" rightToLeft="false" tabSelected="false" showOutlineSymbols="true" defaultGridColor="true" view="normal" topLeftCell="B1" colorId="64" zoomScale="115" zoomScaleNormal="115" zoomScalePageLayoutView="100" workbookViewId="0">
      <selection pane="topLeft" activeCell="F7" activeCellId="0" sqref="F7"/>
    </sheetView>
  </sheetViews>
  <sheetFormatPr defaultRowHeight="12.75"/>
  <cols>
    <col collapsed="false" hidden="false" max="1025" min="1" style="0" width="10.530612244898"/>
  </cols>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22.xml><?xml version="1.0" encoding="utf-8"?>
<worksheet xmlns="http://schemas.openxmlformats.org/spreadsheetml/2006/main" xmlns:r="http://schemas.openxmlformats.org/officeDocument/2006/relationships">
  <sheetPr filterMode="false">
    <tabColor rgb="FFFF0000"/>
    <pageSetUpPr fitToPage="false"/>
  </sheetPr>
  <dimension ref="A1:Q100"/>
  <sheetViews>
    <sheetView windowProtection="false" showFormulas="false" showGridLines="true" showRowColHeaders="true" showZeros="true" rightToLeft="false" tabSelected="false" showOutlineSymbols="true" defaultGridColor="true" view="normal" topLeftCell="C1" colorId="64" zoomScale="100" zoomScaleNormal="100" zoomScalePageLayoutView="100" workbookViewId="0">
      <selection pane="topLeft" activeCell="R28" activeCellId="0" sqref="R28"/>
    </sheetView>
  </sheetViews>
  <sheetFormatPr defaultRowHeight="12.75"/>
  <cols>
    <col collapsed="false" hidden="false" max="1" min="1" style="0" width="10.530612244898"/>
    <col collapsed="false" hidden="false" max="2" min="2" style="0" width="24.7040816326531"/>
    <col collapsed="false" hidden="false" max="10" min="3" style="0" width="10.530612244898"/>
    <col collapsed="false" hidden="false" max="13" min="11" style="0" width="11.2040816326531"/>
    <col collapsed="false" hidden="false" max="1025" min="14" style="0" width="10.530612244898"/>
  </cols>
  <sheetData>
    <row r="1" s="488" customFormat="true" ht="12.75" hidden="false" customHeight="false" outlineLevel="0" collapsed="false">
      <c r="B1" s="489" t="s">
        <v>821</v>
      </c>
    </row>
    <row r="2" customFormat="false" ht="12.75" hidden="false" customHeight="false" outlineLevel="0" collapsed="false">
      <c r="A2" s="488"/>
      <c r="B2" s="490"/>
    </row>
    <row r="3" customFormat="false" ht="25.5" hidden="false" customHeight="true" outlineLevel="0" collapsed="false">
      <c r="A3" s="488"/>
      <c r="B3" s="490"/>
      <c r="F3" s="491" t="s">
        <v>822</v>
      </c>
      <c r="G3" s="491"/>
      <c r="H3" s="491"/>
      <c r="I3" s="491" t="s">
        <v>312</v>
      </c>
      <c r="J3" s="491"/>
      <c r="K3" s="491" t="s">
        <v>313</v>
      </c>
      <c r="L3" s="491"/>
      <c r="M3" s="491" t="s">
        <v>314</v>
      </c>
      <c r="N3" s="491"/>
      <c r="O3" s="491" t="s">
        <v>582</v>
      </c>
      <c r="P3" s="491"/>
      <c r="Q3" s="492" t="s">
        <v>823</v>
      </c>
    </row>
    <row r="4" s="490" customFormat="true" ht="38.25" hidden="false" customHeight="false" outlineLevel="0" collapsed="false">
      <c r="B4" s="491" t="s">
        <v>824</v>
      </c>
      <c r="C4" s="491" t="s">
        <v>324</v>
      </c>
      <c r="D4" s="491" t="s">
        <v>825</v>
      </c>
      <c r="E4" s="491" t="s">
        <v>826</v>
      </c>
      <c r="F4" s="491" t="n">
        <v>2005</v>
      </c>
      <c r="G4" s="491" t="n">
        <v>2007</v>
      </c>
      <c r="H4" s="491" t="n">
        <v>2009</v>
      </c>
      <c r="I4" s="491" t="s">
        <v>316</v>
      </c>
      <c r="J4" s="491" t="s">
        <v>317</v>
      </c>
      <c r="K4" s="491" t="s">
        <v>316</v>
      </c>
      <c r="L4" s="491" t="s">
        <v>317</v>
      </c>
      <c r="M4" s="491" t="s">
        <v>316</v>
      </c>
      <c r="N4" s="491" t="s">
        <v>317</v>
      </c>
      <c r="O4" s="491" t="s">
        <v>316</v>
      </c>
      <c r="P4" s="491" t="s">
        <v>317</v>
      </c>
      <c r="Q4" s="492"/>
    </row>
    <row r="5" s="488" customFormat="true" ht="25.5" hidden="false" customHeight="false" outlineLevel="0" collapsed="false">
      <c r="B5" s="493" t="str">
        <f aca="false">'8.EQUIPAM'!A59</f>
        <v>Ajuntament Andratx</v>
      </c>
      <c r="C5" s="494" t="str">
        <f aca="false">'8.EQUIPAM'!B59</f>
        <v>Administratiu</v>
      </c>
      <c r="D5" s="495" t="n">
        <f aca="false">'8.EQUIPAM'!D59</f>
        <v>3636</v>
      </c>
      <c r="E5" s="495" t="n">
        <f aca="false">'8.EQUIPAM'!E59</f>
        <v>220</v>
      </c>
      <c r="F5" s="495" t="n">
        <f aca="false">'8.EQUIPAM'!H59+'8.EQUIPAM'!H89+'8.EQUIPAM'!H150+'8.EQUIPAM'!H211</f>
        <v>263833</v>
      </c>
      <c r="G5" s="495" t="n">
        <f aca="false">'8.EQUIPAM'!J59+'8.EQUIPAM'!J89+'8.EQUIPAM'!J150+'8.EQUIPAM'!J211</f>
        <v>368955</v>
      </c>
      <c r="H5" s="495" t="n">
        <f aca="false">'8.EQUIPAM'!L59+'8.EQUIPAM'!L89+'8.EQUIPAM'!L150+'8.EQUIPAM'!L211</f>
        <v>342209</v>
      </c>
      <c r="I5" s="496" t="n">
        <f aca="false">F5/D5</f>
        <v>72.5613311331133</v>
      </c>
      <c r="J5" s="496" t="n">
        <f aca="false">F5/E5</f>
        <v>1199.24090909091</v>
      </c>
      <c r="K5" s="496" t="n">
        <f aca="false">G5/D5</f>
        <v>101.472772277228</v>
      </c>
      <c r="L5" s="496" t="n">
        <f aca="false">G5/E5</f>
        <v>1677.06818181818</v>
      </c>
      <c r="M5" s="496" t="n">
        <f aca="false">H5/D5</f>
        <v>94.1168866886689</v>
      </c>
      <c r="N5" s="496" t="n">
        <f aca="false">H5/E5</f>
        <v>1555.49545454545</v>
      </c>
      <c r="O5" s="497" t="n">
        <f aca="false">(M5-I5)/I5</f>
        <v>0.297066705074801</v>
      </c>
      <c r="P5" s="497" t="n">
        <f aca="false">(N5-J5)/J5</f>
        <v>0.297066705074801</v>
      </c>
      <c r="Q5" s="497" t="n">
        <f aca="false">(H5-F5)/F5</f>
        <v>0.297066705074801</v>
      </c>
    </row>
    <row r="6" s="488" customFormat="true" ht="38.25" hidden="false" customHeight="false" outlineLevel="0" collapsed="false">
      <c r="B6" s="493" t="str">
        <f aca="false">'8.EQUIPAM'!A60</f>
        <v>Poliesportiu municipal Es vinyet</v>
      </c>
      <c r="C6" s="494" t="str">
        <f aca="false">'8.EQUIPAM'!B60</f>
        <v>Esportiu sense piscina</v>
      </c>
      <c r="D6" s="495" t="s">
        <v>86</v>
      </c>
      <c r="E6" s="495" t="s">
        <v>86</v>
      </c>
      <c r="F6" s="495" t="n">
        <f aca="false">'8.EQUIPAM'!H60+'8.EQUIPAM'!H90+'8.EQUIPAM'!H151+'8.EQUIPAM'!H212</f>
        <v>149693.209302326</v>
      </c>
      <c r="G6" s="495" t="n">
        <f aca="false">'8.EQUIPAM'!J60+'8.EQUIPAM'!J90+'8.EQUIPAM'!J151+'8.EQUIPAM'!J212</f>
        <v>132969.209302326</v>
      </c>
      <c r="H6" s="495" t="n">
        <f aca="false">'8.EQUIPAM'!L60+'8.EQUIPAM'!L90+'8.EQUIPAM'!L151+'8.EQUIPAM'!L212</f>
        <v>107525.209302326</v>
      </c>
      <c r="I6" s="496" t="e">
        <f aca="false">F6/D6</f>
        <v>#VALUE!</v>
      </c>
      <c r="J6" s="496" t="e">
        <f aca="false">F6/E6</f>
        <v>#VALUE!</v>
      </c>
      <c r="K6" s="496" t="e">
        <f aca="false">G6/D6</f>
        <v>#VALUE!</v>
      </c>
      <c r="L6" s="496" t="e">
        <f aca="false">G6/E6</f>
        <v>#VALUE!</v>
      </c>
      <c r="M6" s="496" t="e">
        <f aca="false">H6/D6</f>
        <v>#VALUE!</v>
      </c>
      <c r="N6" s="496" t="e">
        <f aca="false">H6/E6</f>
        <v>#VALUE!</v>
      </c>
      <c r="O6" s="497" t="e">
        <f aca="false">(M6-I6)/I6</f>
        <v>#VALUE!</v>
      </c>
      <c r="P6" s="497" t="e">
        <f aca="false">(N6-J6)/J6</f>
        <v>#VALUE!</v>
      </c>
      <c r="Q6" s="497" t="n">
        <f aca="false">(H6-F6)/F6</f>
        <v>-0.281696145045805</v>
      </c>
    </row>
    <row r="7" s="488" customFormat="true" ht="38.25" hidden="false" customHeight="false" outlineLevel="0" collapsed="false">
      <c r="B7" s="493" t="str">
        <f aca="false">'8.EQUIPAM'!A61</f>
        <v>Camp municipal Sa Plana</v>
      </c>
      <c r="C7" s="494" t="str">
        <f aca="false">'8.EQUIPAM'!B61</f>
        <v>Esportiu sense piscina</v>
      </c>
      <c r="D7" s="495" t="n">
        <f aca="false">'8.EQUIPAM'!D61</f>
        <v>7543</v>
      </c>
      <c r="E7" s="495" t="n">
        <f aca="false">'8.EQUIPAM'!E61</f>
        <v>50</v>
      </c>
      <c r="F7" s="495" t="n">
        <f aca="false">'8.EQUIPAM'!H61+'8.EQUIPAM'!H91+'8.EQUIPAM'!H152+'8.EQUIPAM'!H213</f>
        <v>107164.651162791</v>
      </c>
      <c r="G7" s="495" t="n">
        <f aca="false">'8.EQUIPAM'!J61+'8.EQUIPAM'!J91+'8.EQUIPAM'!J152+'8.EQUIPAM'!J213</f>
        <v>106704.651162791</v>
      </c>
      <c r="H7" s="495" t="n">
        <f aca="false">'8.EQUIPAM'!L61+'8.EQUIPAM'!L91+'8.EQUIPAM'!L152+'8.EQUIPAM'!L213</f>
        <v>96925.6511627907</v>
      </c>
      <c r="I7" s="496" t="n">
        <f aca="false">F7/D7</f>
        <v>14.2071657381401</v>
      </c>
      <c r="J7" s="496" t="n">
        <f aca="false">F7/E7</f>
        <v>2143.29302325581</v>
      </c>
      <c r="K7" s="496" t="n">
        <f aca="false">G7/D7</f>
        <v>14.1461820446494</v>
      </c>
      <c r="L7" s="496" t="n">
        <f aca="false">G7/E7</f>
        <v>2134.09302325581</v>
      </c>
      <c r="M7" s="496" t="n">
        <f aca="false">H7/D7</f>
        <v>12.8497482649862</v>
      </c>
      <c r="N7" s="496" t="n">
        <f aca="false">H7/E7</f>
        <v>1938.51302325581</v>
      </c>
      <c r="O7" s="497" t="n">
        <f aca="false">(M7-I7)/I7</f>
        <v>-0.0955445651985209</v>
      </c>
      <c r="P7" s="497" t="n">
        <f aca="false">(N7-J7)/J7</f>
        <v>-0.0955445651985209</v>
      </c>
      <c r="Q7" s="497" t="n">
        <f aca="false">(H7-F7)/F7</f>
        <v>-0.0955445651985209</v>
      </c>
    </row>
    <row r="8" s="488" customFormat="true" ht="25.5" hidden="false" customHeight="false" outlineLevel="0" collapsed="false">
      <c r="B8" s="493" t="str">
        <f aca="false">'8.EQUIPAM'!A62</f>
        <v>Cementiri s'Arracó</v>
      </c>
      <c r="C8" s="494" t="str">
        <f aca="false">'8.EQUIPAM'!B62</f>
        <v>Sociocultural</v>
      </c>
      <c r="D8" s="495" t="s">
        <v>86</v>
      </c>
      <c r="E8" s="495" t="s">
        <v>86</v>
      </c>
      <c r="F8" s="495" t="n">
        <f aca="false">'8.EQUIPAM'!H62+'8.EQUIPAM'!H92+'8.EQUIPAM'!H153+'8.EQUIPAM'!H214</f>
        <v>8998</v>
      </c>
      <c r="G8" s="495" t="n">
        <f aca="false">'8.EQUIPAM'!J62+'8.EQUIPAM'!J92+'8.EQUIPAM'!J153+'8.EQUIPAM'!J214</f>
        <v>8018</v>
      </c>
      <c r="H8" s="495" t="n">
        <f aca="false">'8.EQUIPAM'!L62+'8.EQUIPAM'!L92+'8.EQUIPAM'!L153+'8.EQUIPAM'!L214</f>
        <v>7320</v>
      </c>
      <c r="I8" s="496" t="e">
        <f aca="false">F8/D8</f>
        <v>#VALUE!</v>
      </c>
      <c r="J8" s="496" t="e">
        <f aca="false">F8/E8</f>
        <v>#VALUE!</v>
      </c>
      <c r="K8" s="496" t="e">
        <f aca="false">G8/D8</f>
        <v>#VALUE!</v>
      </c>
      <c r="L8" s="496" t="e">
        <f aca="false">G8/E8</f>
        <v>#VALUE!</v>
      </c>
      <c r="M8" s="496" t="e">
        <f aca="false">H8/D8</f>
        <v>#VALUE!</v>
      </c>
      <c r="N8" s="496" t="e">
        <f aca="false">H8/E8</f>
        <v>#VALUE!</v>
      </c>
      <c r="O8" s="497" t="e">
        <f aca="false">(M8-I8)/I8</f>
        <v>#VALUE!</v>
      </c>
      <c r="P8" s="497" t="e">
        <f aca="false">(N8-J8)/J8</f>
        <v>#VALUE!</v>
      </c>
      <c r="Q8" s="497" t="n">
        <f aca="false">(H8-F8)/F8</f>
        <v>-0.186485885752389</v>
      </c>
    </row>
    <row r="9" s="488" customFormat="true" ht="12.75" hidden="false" customHeight="false" outlineLevel="0" collapsed="false">
      <c r="B9" s="493" t="str">
        <f aca="false">'8.EQUIPAM'!A63</f>
        <v>Col·legi</v>
      </c>
      <c r="C9" s="494" t="str">
        <f aca="false">'8.EQUIPAM'!B63</f>
        <v>Educatiu</v>
      </c>
      <c r="D9" s="495" t="s">
        <v>86</v>
      </c>
      <c r="E9" s="495" t="s">
        <v>86</v>
      </c>
      <c r="F9" s="495" t="n">
        <f aca="false">'8.EQUIPAM'!H63+'8.EQUIPAM'!H93+'8.EQUIPAM'!H154+'8.EQUIPAM'!H215</f>
        <v>10948</v>
      </c>
      <c r="G9" s="495" t="n">
        <f aca="false">'8.EQUIPAM'!J63+'8.EQUIPAM'!J93+'8.EQUIPAM'!J154+'8.EQUIPAM'!J215</f>
        <v>7103</v>
      </c>
      <c r="H9" s="495" t="n">
        <f aca="false">'8.EQUIPAM'!L63+'8.EQUIPAM'!L93+'8.EQUIPAM'!L154+'8.EQUIPAM'!L215</f>
        <v>10393</v>
      </c>
      <c r="I9" s="496" t="e">
        <f aca="false">F9/D9</f>
        <v>#VALUE!</v>
      </c>
      <c r="J9" s="496" t="e">
        <f aca="false">F9/E9</f>
        <v>#VALUE!</v>
      </c>
      <c r="K9" s="496" t="e">
        <f aca="false">G9/D9</f>
        <v>#VALUE!</v>
      </c>
      <c r="L9" s="496" t="e">
        <f aca="false">G9/E9</f>
        <v>#VALUE!</v>
      </c>
      <c r="M9" s="496" t="e">
        <f aca="false">H9/D9</f>
        <v>#VALUE!</v>
      </c>
      <c r="N9" s="496" t="e">
        <f aca="false">H9/E9</f>
        <v>#VALUE!</v>
      </c>
      <c r="O9" s="497" t="e">
        <f aca="false">(M9-I9)/I9</f>
        <v>#VALUE!</v>
      </c>
      <c r="P9" s="497" t="e">
        <f aca="false">(N9-J9)/J9</f>
        <v>#VALUE!</v>
      </c>
      <c r="Q9" s="497" t="n">
        <f aca="false">(H9-F9)/F9</f>
        <v>-0.0506941907197662</v>
      </c>
    </row>
    <row r="10" s="488" customFormat="true" ht="25.5" hidden="false" customHeight="false" outlineLevel="0" collapsed="false">
      <c r="B10" s="493" t="str">
        <f aca="false">'8.EQUIPAM'!A64</f>
        <v>Palau d'esports</v>
      </c>
      <c r="C10" s="494" t="str">
        <f aca="false">'8.EQUIPAM'!B64</f>
        <v>Esportiu amb piscina</v>
      </c>
      <c r="D10" s="495" t="n">
        <f aca="false">'8.EQUIPAM'!D64</f>
        <v>5676</v>
      </c>
      <c r="E10" s="495" t="n">
        <f aca="false">'8.EQUIPAM'!E64</f>
        <v>300</v>
      </c>
      <c r="F10" s="495" t="n">
        <f aca="false">'8.EQUIPAM'!H64+'8.EQUIPAM'!H94+'8.EQUIPAM'!H155+'8.EQUIPAM'!H216</f>
        <v>1121875.57209302</v>
      </c>
      <c r="G10" s="495" t="n">
        <f aca="false">'8.EQUIPAM'!J64+'8.EQUIPAM'!J94+'8.EQUIPAM'!J155+'8.EQUIPAM'!J216</f>
        <v>1104595.57209302</v>
      </c>
      <c r="H10" s="495" t="n">
        <f aca="false">'8.EQUIPAM'!L64+'8.EQUIPAM'!L94+'8.EQUIPAM'!L155+'8.EQUIPAM'!L216</f>
        <v>1027117.57209302</v>
      </c>
      <c r="I10" s="496" t="n">
        <f aca="false">F10/D10</f>
        <v>197.652496845142</v>
      </c>
      <c r="J10" s="496" t="n">
        <f aca="false">F10/E10</f>
        <v>3739.58524031008</v>
      </c>
      <c r="K10" s="496" t="n">
        <f aca="false">G10/D10</f>
        <v>194.608099382139</v>
      </c>
      <c r="L10" s="496" t="n">
        <f aca="false">G10/E10</f>
        <v>3681.98524031008</v>
      </c>
      <c r="M10" s="496" t="n">
        <f aca="false">H10/D10</f>
        <v>180.957993673894</v>
      </c>
      <c r="N10" s="496" t="n">
        <f aca="false">H10/E10</f>
        <v>3423.72524031008</v>
      </c>
      <c r="O10" s="497" t="n">
        <f aca="false">(M10-I10)/I10</f>
        <v>-0.0844639123599198</v>
      </c>
      <c r="P10" s="497" t="n">
        <f aca="false">(N10-J10)/J10</f>
        <v>-0.0844639123599198</v>
      </c>
      <c r="Q10" s="497" t="n">
        <f aca="false">(H10-F10)/F10</f>
        <v>-0.0844639123599199</v>
      </c>
    </row>
    <row r="11" s="488" customFormat="true" ht="12.75" hidden="false" customHeight="false" outlineLevel="0" collapsed="false">
      <c r="B11" s="493" t="str">
        <f aca="false">'8.EQUIPAM'!A65</f>
        <v>Escola de música</v>
      </c>
      <c r="C11" s="494" t="str">
        <f aca="false">'8.EQUIPAM'!B65</f>
        <v>Educatiu</v>
      </c>
      <c r="D11" s="495" t="n">
        <f aca="false">'8.EQUIPAM'!D65</f>
        <v>469</v>
      </c>
      <c r="E11" s="495" t="s">
        <v>86</v>
      </c>
      <c r="F11" s="495" t="n">
        <f aca="false">'8.EQUIPAM'!H65+'8.EQUIPAM'!H95+'8.EQUIPAM'!H156+'8.EQUIPAM'!H217</f>
        <v>36235</v>
      </c>
      <c r="G11" s="495" t="n">
        <f aca="false">'8.EQUIPAM'!J65+'8.EQUIPAM'!J95+'8.EQUIPAM'!J156+'8.EQUIPAM'!J217</f>
        <v>33480</v>
      </c>
      <c r="H11" s="495" t="n">
        <f aca="false">'8.EQUIPAM'!L65+'8.EQUIPAM'!L95+'8.EQUIPAM'!L156+'8.EQUIPAM'!L217</f>
        <v>44871</v>
      </c>
      <c r="I11" s="496" t="n">
        <f aca="false">F11/D11</f>
        <v>77.2601279317697</v>
      </c>
      <c r="J11" s="496" t="e">
        <f aca="false">F11/E11</f>
        <v>#VALUE!</v>
      </c>
      <c r="K11" s="496" t="n">
        <f aca="false">G11/D11</f>
        <v>71.3859275053305</v>
      </c>
      <c r="L11" s="496" t="e">
        <f aca="false">G11/E11</f>
        <v>#VALUE!</v>
      </c>
      <c r="M11" s="496" t="n">
        <f aca="false">H11/D11</f>
        <v>95.6737739872068</v>
      </c>
      <c r="N11" s="496" t="e">
        <f aca="false">H11/E11</f>
        <v>#VALUE!</v>
      </c>
      <c r="O11" s="497" t="n">
        <f aca="false">(M11-I11)/I11</f>
        <v>0.238333103353112</v>
      </c>
      <c r="P11" s="497" t="e">
        <f aca="false">(N11-J11)/J11</f>
        <v>#VALUE!</v>
      </c>
      <c r="Q11" s="497" t="n">
        <f aca="false">(H11-F11)/F11</f>
        <v>0.238333103353112</v>
      </c>
    </row>
    <row r="12" s="488" customFormat="true" ht="25.5" hidden="false" customHeight="false" outlineLevel="0" collapsed="false">
      <c r="B12" s="493" t="str">
        <f aca="false">'8.EQUIPAM'!A66</f>
        <v>Cementeri municipal Andratx</v>
      </c>
      <c r="C12" s="494" t="str">
        <f aca="false">'8.EQUIPAM'!B66</f>
        <v>Sociocultural</v>
      </c>
      <c r="D12" s="495" t="n">
        <f aca="false">'8.EQUIPAM'!D66</f>
        <v>2949</v>
      </c>
      <c r="E12" s="495" t="s">
        <v>86</v>
      </c>
      <c r="F12" s="495" t="n">
        <f aca="false">'8.EQUIPAM'!H66+'8.EQUIPAM'!H96+'8.EQUIPAM'!H157+'8.EQUIPAM'!H218</f>
        <v>0</v>
      </c>
      <c r="G12" s="495" t="n">
        <f aca="false">'8.EQUIPAM'!J66+'8.EQUIPAM'!J96+'8.EQUIPAM'!J157+'8.EQUIPAM'!J218</f>
        <v>21307</v>
      </c>
      <c r="H12" s="495" t="n">
        <f aca="false">'8.EQUIPAM'!L66+'8.EQUIPAM'!L96+'8.EQUIPAM'!L157+'8.EQUIPAM'!L218</f>
        <v>22104</v>
      </c>
      <c r="I12" s="496" t="n">
        <f aca="false">F12/D12</f>
        <v>0</v>
      </c>
      <c r="J12" s="496" t="e">
        <f aca="false">F12/E12</f>
        <v>#VALUE!</v>
      </c>
      <c r="K12" s="496" t="n">
        <f aca="false">G12/D12</f>
        <v>7.22516107154968</v>
      </c>
      <c r="L12" s="496" t="e">
        <f aca="false">G12/E12</f>
        <v>#VALUE!</v>
      </c>
      <c r="M12" s="496" t="n">
        <f aca="false">H12/D12</f>
        <v>7.49542217700916</v>
      </c>
      <c r="N12" s="496" t="e">
        <f aca="false">H12/E12</f>
        <v>#VALUE!</v>
      </c>
      <c r="O12" s="497" t="e">
        <f aca="false">(M12-I12)/I12</f>
        <v>#DIV/0!</v>
      </c>
      <c r="P12" s="497" t="e">
        <f aca="false">(N12-J12)/J12</f>
        <v>#VALUE!</v>
      </c>
      <c r="Q12" s="497" t="e">
        <f aca="false">(H12-F12)/F12</f>
        <v>#DIV/0!</v>
      </c>
    </row>
    <row r="13" s="488" customFormat="true" ht="25.5" hidden="false" customHeight="false" outlineLevel="0" collapsed="false">
      <c r="B13" s="493" t="str">
        <f aca="false">'8.EQUIPAM'!A67</f>
        <v>Parc verd</v>
      </c>
      <c r="C13" s="494" t="str">
        <f aca="false">'8.EQUIPAM'!B67</f>
        <v>Sociocultural</v>
      </c>
      <c r="D13" s="495" t="n">
        <f aca="false">'8.EQUIPAM'!D67</f>
        <v>444</v>
      </c>
      <c r="E13" s="495" t="s">
        <v>86</v>
      </c>
      <c r="F13" s="495" t="n">
        <f aca="false">'8.EQUIPAM'!H67+'8.EQUIPAM'!H97+'8.EQUIPAM'!H158+'8.EQUIPAM'!H219</f>
        <v>0</v>
      </c>
      <c r="G13" s="495" t="n">
        <f aca="false">'8.EQUIPAM'!J67+'8.EQUIPAM'!J97+'8.EQUIPAM'!J158+'8.EQUIPAM'!J219</f>
        <v>9228</v>
      </c>
      <c r="H13" s="495" t="n">
        <f aca="false">'8.EQUIPAM'!L67+'8.EQUIPAM'!L97+'8.EQUIPAM'!L158+'8.EQUIPAM'!L219</f>
        <v>5288</v>
      </c>
      <c r="I13" s="496" t="n">
        <f aca="false">F13/D13</f>
        <v>0</v>
      </c>
      <c r="J13" s="496" t="e">
        <f aca="false">F13/E13</f>
        <v>#VALUE!</v>
      </c>
      <c r="K13" s="496" t="n">
        <f aca="false">G13/D13</f>
        <v>20.7837837837838</v>
      </c>
      <c r="L13" s="496" t="e">
        <f aca="false">G13/E13</f>
        <v>#VALUE!</v>
      </c>
      <c r="M13" s="496" t="n">
        <f aca="false">H13/D13</f>
        <v>11.9099099099099</v>
      </c>
      <c r="N13" s="496" t="e">
        <f aca="false">H13/E13</f>
        <v>#VALUE!</v>
      </c>
      <c r="O13" s="497" t="e">
        <f aca="false">(M13-I13)/I13</f>
        <v>#DIV/0!</v>
      </c>
      <c r="P13" s="497" t="e">
        <f aca="false">(N13-J13)/J13</f>
        <v>#VALUE!</v>
      </c>
      <c r="Q13" s="497" t="e">
        <f aca="false">(H13-F13)/F13</f>
        <v>#DIV/0!</v>
      </c>
    </row>
    <row r="14" s="488" customFormat="true" ht="25.5" hidden="false" customHeight="false" outlineLevel="0" collapsed="false">
      <c r="B14" s="493" t="str">
        <f aca="false">'8.EQUIPAM'!A68</f>
        <v>Biblioteca </v>
      </c>
      <c r="C14" s="494" t="str">
        <f aca="false">'8.EQUIPAM'!B68</f>
        <v>Sociocultural</v>
      </c>
      <c r="D14" s="495" t="n">
        <f aca="false">'8.EQUIPAM'!D68</f>
        <v>683</v>
      </c>
      <c r="E14" s="495" t="n">
        <f aca="false">'8.EQUIPAM'!E68</f>
        <v>53</v>
      </c>
      <c r="F14" s="495" t="n">
        <f aca="false">'8.EQUIPAM'!H68+'8.EQUIPAM'!H98+'8.EQUIPAM'!H159+'8.EQUIPAM'!H220</f>
        <v>86620</v>
      </c>
      <c r="G14" s="495" t="n">
        <f aca="false">'8.EQUIPAM'!J68+'8.EQUIPAM'!J98+'8.EQUIPAM'!J159+'8.EQUIPAM'!J220</f>
        <v>44260</v>
      </c>
      <c r="H14" s="495" t="n">
        <f aca="false">'8.EQUIPAM'!L68+'8.EQUIPAM'!L98+'8.EQUIPAM'!L159+'8.EQUIPAM'!L220</f>
        <v>55749</v>
      </c>
      <c r="I14" s="496" t="n">
        <f aca="false">F14/D14</f>
        <v>126.822840409956</v>
      </c>
      <c r="J14" s="496" t="n">
        <f aca="false">F14/E14</f>
        <v>1634.33962264151</v>
      </c>
      <c r="K14" s="496" t="n">
        <f aca="false">G14/D14</f>
        <v>64.8023426061493</v>
      </c>
      <c r="L14" s="496" t="n">
        <f aca="false">G14/E14</f>
        <v>835.094339622642</v>
      </c>
      <c r="M14" s="496" t="n">
        <f aca="false">H14/D14</f>
        <v>81.6237188872621</v>
      </c>
      <c r="N14" s="496" t="n">
        <f aca="false">H14/E14</f>
        <v>1051.8679245283</v>
      </c>
      <c r="O14" s="497" t="n">
        <f aca="false">(M14-I14)/I14</f>
        <v>-0.356395751558532</v>
      </c>
      <c r="P14" s="497" t="n">
        <f aca="false">(N14-J14)/J14</f>
        <v>-0.356395751558531</v>
      </c>
      <c r="Q14" s="497" t="n">
        <f aca="false">(H14-F14)/F14</f>
        <v>-0.356395751558532</v>
      </c>
    </row>
    <row r="15" s="488" customFormat="true" ht="25.5" hidden="false" customHeight="false" outlineLevel="0" collapsed="false">
      <c r="B15" s="493" t="str">
        <f aca="false">'8.EQUIPAM'!A69</f>
        <v>Local cultural</v>
      </c>
      <c r="C15" s="494" t="str">
        <f aca="false">'8.EQUIPAM'!B69</f>
        <v>Sociocultural</v>
      </c>
      <c r="D15" s="495" t="n">
        <f aca="false">'8.EQUIPAM'!D69</f>
        <v>938</v>
      </c>
      <c r="E15" s="495" t="s">
        <v>86</v>
      </c>
      <c r="F15" s="495" t="n">
        <f aca="false">'8.EQUIPAM'!H69+'8.EQUIPAM'!H99+'8.EQUIPAM'!H160+'8.EQUIPAM'!H221</f>
        <v>6997</v>
      </c>
      <c r="G15" s="495" t="n">
        <f aca="false">'8.EQUIPAM'!J69+'8.EQUIPAM'!J99+'8.EQUIPAM'!J160+'8.EQUIPAM'!J221</f>
        <v>9897</v>
      </c>
      <c r="H15" s="495" t="n">
        <f aca="false">'8.EQUIPAM'!L69+'8.EQUIPAM'!L99+'8.EQUIPAM'!L160+'8.EQUIPAM'!L221</f>
        <v>10383</v>
      </c>
      <c r="I15" s="496" t="n">
        <f aca="false">F15/D15</f>
        <v>7.45948827292111</v>
      </c>
      <c r="J15" s="496" t="e">
        <f aca="false">F15/E15</f>
        <v>#VALUE!</v>
      </c>
      <c r="K15" s="496" t="n">
        <f aca="false">G15/D15</f>
        <v>10.5511727078891</v>
      </c>
      <c r="L15" s="496" t="e">
        <f aca="false">G15/E15</f>
        <v>#VALUE!</v>
      </c>
      <c r="M15" s="496" t="n">
        <f aca="false">H15/D15</f>
        <v>11.0692963752665</v>
      </c>
      <c r="N15" s="496" t="e">
        <f aca="false">H15/E15</f>
        <v>#VALUE!</v>
      </c>
      <c r="O15" s="497" t="n">
        <f aca="false">(M15-I15)/I15</f>
        <v>0.483921680720309</v>
      </c>
      <c r="P15" s="497" t="e">
        <f aca="false">(N15-J15)/J15</f>
        <v>#VALUE!</v>
      </c>
      <c r="Q15" s="497" t="n">
        <f aca="false">(H15-F15)/F15</f>
        <v>0.483921680720309</v>
      </c>
    </row>
    <row r="16" s="488" customFormat="true" ht="25.5" hidden="false" customHeight="false" outlineLevel="0" collapsed="false">
      <c r="B16" s="493" t="str">
        <f aca="false">'8.EQUIPAM'!A70</f>
        <v>Centre de dia</v>
      </c>
      <c r="C16" s="494" t="str">
        <f aca="false">'8.EQUIPAM'!B70</f>
        <v>Sociocultural</v>
      </c>
      <c r="D16" s="495" t="n">
        <f aca="false">'8.EQUIPAM'!D70</f>
        <v>621</v>
      </c>
      <c r="E16" s="495" t="s">
        <v>86</v>
      </c>
      <c r="F16" s="495" t="n">
        <f aca="false">'8.EQUIPAM'!H70+'8.EQUIPAM'!H100+'8.EQUIPAM'!H161+'8.EQUIPAM'!H222</f>
        <v>0</v>
      </c>
      <c r="G16" s="495" t="n">
        <f aca="false">'8.EQUIPAM'!J70+'8.EQUIPAM'!J100+'8.EQUIPAM'!J161+'8.EQUIPAM'!J222</f>
        <v>0</v>
      </c>
      <c r="H16" s="495" t="n">
        <f aca="false">'8.EQUIPAM'!L70+'8.EQUIPAM'!L100+'8.EQUIPAM'!L161+'8.EQUIPAM'!L222</f>
        <v>787</v>
      </c>
      <c r="I16" s="496" t="n">
        <f aca="false">F16/D16</f>
        <v>0</v>
      </c>
      <c r="J16" s="496" t="e">
        <f aca="false">F16/E16</f>
        <v>#VALUE!</v>
      </c>
      <c r="K16" s="496" t="n">
        <f aca="false">G16/D16</f>
        <v>0</v>
      </c>
      <c r="L16" s="496" t="e">
        <f aca="false">G16/E16</f>
        <v>#VALUE!</v>
      </c>
      <c r="M16" s="496" t="n">
        <f aca="false">H16/D16</f>
        <v>1.26731078904992</v>
      </c>
      <c r="N16" s="496" t="e">
        <f aca="false">H16/E16</f>
        <v>#VALUE!</v>
      </c>
      <c r="O16" s="497" t="e">
        <f aca="false">(M16-I16)/I16</f>
        <v>#DIV/0!</v>
      </c>
      <c r="P16" s="497" t="e">
        <f aca="false">(N16-J16)/J16</f>
        <v>#VALUE!</v>
      </c>
      <c r="Q16" s="497" t="e">
        <f aca="false">(H16-F16)/F16</f>
        <v>#DIV/0!</v>
      </c>
    </row>
    <row r="17" s="488" customFormat="true" ht="25.5" hidden="false" customHeight="false" outlineLevel="0" collapsed="false">
      <c r="B17" s="493" t="str">
        <f aca="false">'8.EQUIPAM'!A71</f>
        <v>Oficines</v>
      </c>
      <c r="C17" s="494" t="str">
        <f aca="false">'8.EQUIPAM'!B71</f>
        <v>Administratiu</v>
      </c>
      <c r="D17" s="495" t="n">
        <f aca="false">'8.EQUIPAM'!D71</f>
        <v>368</v>
      </c>
      <c r="E17" s="495" t="s">
        <v>86</v>
      </c>
      <c r="F17" s="495" t="n">
        <f aca="false">'8.EQUIPAM'!H71+'8.EQUIPAM'!H101+'8.EQUIPAM'!H162+'8.EQUIPAM'!H223</f>
        <v>7475</v>
      </c>
      <c r="G17" s="495" t="n">
        <f aca="false">'8.EQUIPAM'!J71+'8.EQUIPAM'!J101+'8.EQUIPAM'!J162+'8.EQUIPAM'!J223</f>
        <v>4556</v>
      </c>
      <c r="H17" s="495" t="n">
        <f aca="false">'8.EQUIPAM'!L71+'8.EQUIPAM'!L101+'8.EQUIPAM'!L162+'8.EQUIPAM'!L223</f>
        <v>105</v>
      </c>
      <c r="I17" s="496" t="n">
        <f aca="false">F17/D17</f>
        <v>20.3125</v>
      </c>
      <c r="J17" s="496" t="e">
        <f aca="false">F17/E17</f>
        <v>#VALUE!</v>
      </c>
      <c r="K17" s="496" t="n">
        <f aca="false">G17/D17</f>
        <v>12.3804347826087</v>
      </c>
      <c r="L17" s="496" t="e">
        <f aca="false">G17/E17</f>
        <v>#VALUE!</v>
      </c>
      <c r="M17" s="496" t="n">
        <f aca="false">H17/D17</f>
        <v>0.285326086956522</v>
      </c>
      <c r="N17" s="496" t="e">
        <f aca="false">H17/E17</f>
        <v>#VALUE!</v>
      </c>
      <c r="O17" s="497" t="n">
        <f aca="false">(M17-I17)/I17</f>
        <v>-0.985953177257525</v>
      </c>
      <c r="P17" s="497" t="e">
        <f aca="false">(N17-J17)/J17</f>
        <v>#VALUE!</v>
      </c>
      <c r="Q17" s="497" t="n">
        <f aca="false">(H17-F17)/F17</f>
        <v>-0.985953177257525</v>
      </c>
    </row>
    <row r="18" s="488" customFormat="true" ht="25.5" hidden="false" customHeight="false" outlineLevel="0" collapsed="false">
      <c r="B18" s="493" t="str">
        <f aca="false">'8.EQUIPAM'!A72</f>
        <v>Cultural</v>
      </c>
      <c r="C18" s="494" t="str">
        <f aca="false">'8.EQUIPAM'!B72</f>
        <v>Sociocultural</v>
      </c>
      <c r="D18" s="495" t="n">
        <f aca="false">'8.EQUIPAM'!D72</f>
        <v>512</v>
      </c>
      <c r="E18" s="495" t="s">
        <v>86</v>
      </c>
      <c r="F18" s="495" t="n">
        <f aca="false">'8.EQUIPAM'!H72+'8.EQUIPAM'!H102+'8.EQUIPAM'!H163+'8.EQUIPAM'!H224</f>
        <v>3335</v>
      </c>
      <c r="G18" s="495" t="n">
        <f aca="false">'8.EQUIPAM'!J72+'8.EQUIPAM'!J102+'8.EQUIPAM'!J163+'8.EQUIPAM'!J224</f>
        <v>3361</v>
      </c>
      <c r="H18" s="495" t="n">
        <f aca="false">'8.EQUIPAM'!L72+'8.EQUIPAM'!L102+'8.EQUIPAM'!L163+'8.EQUIPAM'!L224</f>
        <v>612</v>
      </c>
      <c r="I18" s="496" t="n">
        <f aca="false">F18/D18</f>
        <v>6.513671875</v>
      </c>
      <c r="J18" s="496" t="e">
        <f aca="false">F18/E18</f>
        <v>#VALUE!</v>
      </c>
      <c r="K18" s="496" t="n">
        <f aca="false">G18/D18</f>
        <v>6.564453125</v>
      </c>
      <c r="L18" s="496" t="e">
        <f aca="false">G18/E18</f>
        <v>#VALUE!</v>
      </c>
      <c r="M18" s="496" t="n">
        <f aca="false">H18/D18</f>
        <v>1.1953125</v>
      </c>
      <c r="N18" s="496" t="e">
        <f aca="false">H18/E18</f>
        <v>#VALUE!</v>
      </c>
      <c r="O18" s="497" t="n">
        <f aca="false">(M18-I18)/I18</f>
        <v>-0.816491754122938</v>
      </c>
      <c r="P18" s="497" t="e">
        <f aca="false">(N18-J18)/J18</f>
        <v>#VALUE!</v>
      </c>
      <c r="Q18" s="497" t="n">
        <f aca="false">(H18-F18)/F18</f>
        <v>-0.816491754122938</v>
      </c>
    </row>
    <row r="19" s="488" customFormat="true" ht="25.5" hidden="false" customHeight="false" outlineLevel="0" collapsed="false">
      <c r="B19" s="493" t="str">
        <f aca="false">'8.EQUIPAM'!A73</f>
        <v>Teatre municipal</v>
      </c>
      <c r="C19" s="494" t="str">
        <f aca="false">'8.EQUIPAM'!B73</f>
        <v>Sociocultural</v>
      </c>
      <c r="D19" s="495" t="n">
        <f aca="false">'8.EQUIPAM'!D73</f>
        <v>837</v>
      </c>
      <c r="E19" s="495" t="s">
        <v>86</v>
      </c>
      <c r="F19" s="495" t="n">
        <f aca="false">'8.EQUIPAM'!H73+'8.EQUIPAM'!H103+'8.EQUIPAM'!H164+'8.EQUIPAM'!H225</f>
        <v>19922</v>
      </c>
      <c r="G19" s="495" t="n">
        <f aca="false">'8.EQUIPAM'!J73+'8.EQUIPAM'!J103+'8.EQUIPAM'!J164+'8.EQUIPAM'!J225</f>
        <v>15096</v>
      </c>
      <c r="H19" s="495" t="n">
        <f aca="false">'8.EQUIPAM'!L73+'8.EQUIPAM'!L103+'8.EQUIPAM'!L164+'8.EQUIPAM'!L225</f>
        <v>16941</v>
      </c>
      <c r="I19" s="496" t="n">
        <f aca="false">F19/D19</f>
        <v>23.8016726403823</v>
      </c>
      <c r="J19" s="496" t="e">
        <f aca="false">F19/E19</f>
        <v>#VALUE!</v>
      </c>
      <c r="K19" s="496" t="n">
        <f aca="false">G19/D19</f>
        <v>18.0358422939068</v>
      </c>
      <c r="L19" s="496" t="e">
        <f aca="false">G19/E19</f>
        <v>#VALUE!</v>
      </c>
      <c r="M19" s="496" t="n">
        <f aca="false">H19/D19</f>
        <v>20.2401433691756</v>
      </c>
      <c r="N19" s="496" t="e">
        <f aca="false">H19/E19</f>
        <v>#VALUE!</v>
      </c>
      <c r="O19" s="497" t="n">
        <f aca="false">(M19-I19)/I19</f>
        <v>-0.149633570926614</v>
      </c>
      <c r="P19" s="497" t="e">
        <f aca="false">(N19-J19)/J19</f>
        <v>#VALUE!</v>
      </c>
      <c r="Q19" s="497" t="n">
        <f aca="false">(H19-F19)/F19</f>
        <v>-0.149633570926614</v>
      </c>
    </row>
    <row r="20" s="488" customFormat="true" ht="12.75" hidden="false" customHeight="false" outlineLevel="0" collapsed="false">
      <c r="B20" s="493" t="str">
        <f aca="false">'8.EQUIPAM'!A74</f>
        <v>Escoleta municipal</v>
      </c>
      <c r="C20" s="494" t="str">
        <f aca="false">'8.EQUIPAM'!B74</f>
        <v>Educatiu</v>
      </c>
      <c r="D20" s="495" t="n">
        <f aca="false">'8.EQUIPAM'!D74</f>
        <v>2393</v>
      </c>
      <c r="E20" s="495" t="s">
        <v>86</v>
      </c>
      <c r="F20" s="495" t="n">
        <f aca="false">'8.EQUIPAM'!H74+'8.EQUIPAM'!H104+'8.EQUIPAM'!H165+'8.EQUIPAM'!H226</f>
        <v>114400</v>
      </c>
      <c r="G20" s="495" t="n">
        <f aca="false">'8.EQUIPAM'!J74+'8.EQUIPAM'!J104+'8.EQUIPAM'!J165+'8.EQUIPAM'!J226</f>
        <v>113200</v>
      </c>
      <c r="H20" s="495" t="n">
        <f aca="false">'8.EQUIPAM'!L74+'8.EQUIPAM'!L104+'8.EQUIPAM'!L165+'8.EQUIPAM'!L226</f>
        <v>127528</v>
      </c>
      <c r="I20" s="496" t="n">
        <f aca="false">F20/D20</f>
        <v>47.8061011282909</v>
      </c>
      <c r="J20" s="496" t="e">
        <f aca="false">F20/E20</f>
        <v>#VALUE!</v>
      </c>
      <c r="K20" s="496" t="n">
        <f aca="false">G20/D20</f>
        <v>47.304638529043</v>
      </c>
      <c r="L20" s="496" t="e">
        <f aca="false">G20/E20</f>
        <v>#VALUE!</v>
      </c>
      <c r="M20" s="496" t="n">
        <f aca="false">H20/D20</f>
        <v>53.2921019640619</v>
      </c>
      <c r="N20" s="496" t="e">
        <f aca="false">H20/E20</f>
        <v>#VALUE!</v>
      </c>
      <c r="O20" s="497" t="n">
        <f aca="false">(M20-I20)/I20</f>
        <v>0.114755244755245</v>
      </c>
      <c r="P20" s="497" t="e">
        <f aca="false">(N20-J20)/J20</f>
        <v>#VALUE!</v>
      </c>
      <c r="Q20" s="497" t="n">
        <f aca="false">(H20-F20)/F20</f>
        <v>0.114755244755245</v>
      </c>
    </row>
    <row r="21" s="488" customFormat="true" ht="12.75" hidden="false" customHeight="false" outlineLevel="0" collapsed="false">
      <c r="B21" s="493" t="str">
        <f aca="false">'8.EQUIPAM'!A75</f>
        <v>Residencial</v>
      </c>
      <c r="C21" s="494" t="str">
        <f aca="false">'8.EQUIPAM'!B75</f>
        <v>Altres</v>
      </c>
      <c r="D21" s="495" t="n">
        <f aca="false">'8.EQUIPAM'!D75</f>
        <v>144</v>
      </c>
      <c r="E21" s="495" t="s">
        <v>86</v>
      </c>
      <c r="F21" s="495" t="n">
        <f aca="false">'8.EQUIPAM'!H75+'8.EQUIPAM'!H105+'8.EQUIPAM'!H166+'8.EQUIPAM'!H227</f>
        <v>114223</v>
      </c>
      <c r="G21" s="495" t="n">
        <f aca="false">'8.EQUIPAM'!J75+'8.EQUIPAM'!J105+'8.EQUIPAM'!J166+'8.EQUIPAM'!J227</f>
        <v>128079</v>
      </c>
      <c r="H21" s="495" t="n">
        <f aca="false">'8.EQUIPAM'!L75+'8.EQUIPAM'!L105+'8.EQUIPAM'!L166+'8.EQUIPAM'!L227</f>
        <v>99787</v>
      </c>
      <c r="I21" s="496" t="n">
        <f aca="false">F21/D21</f>
        <v>793.215277777778</v>
      </c>
      <c r="J21" s="496" t="e">
        <f aca="false">F21/E21</f>
        <v>#VALUE!</v>
      </c>
      <c r="K21" s="496" t="n">
        <f aca="false">G21/D21</f>
        <v>889.4375</v>
      </c>
      <c r="L21" s="496" t="e">
        <f aca="false">G21/E21</f>
        <v>#VALUE!</v>
      </c>
      <c r="M21" s="496" t="n">
        <f aca="false">H21/D21</f>
        <v>692.965277777778</v>
      </c>
      <c r="N21" s="496" t="e">
        <f aca="false">H21/E21</f>
        <v>#VALUE!</v>
      </c>
      <c r="O21" s="497" t="n">
        <f aca="false">(M21-I21)/I21</f>
        <v>-0.126384353413936</v>
      </c>
      <c r="P21" s="497" t="e">
        <f aca="false">(N21-J21)/J21</f>
        <v>#VALUE!</v>
      </c>
      <c r="Q21" s="497" t="n">
        <f aca="false">(H21-F21)/F21</f>
        <v>-0.126384353413936</v>
      </c>
    </row>
    <row r="22" s="488" customFormat="true" ht="25.5" hidden="false" customHeight="false" outlineLevel="0" collapsed="false">
      <c r="B22" s="493" t="str">
        <f aca="false">'8.EQUIPAM'!A76</f>
        <v>Camp municipal s'Arracó</v>
      </c>
      <c r="C22" s="494" t="str">
        <f aca="false">'8.EQUIPAM'!B76</f>
        <v>Esportiu amb piscina</v>
      </c>
      <c r="D22" s="495" t="n">
        <f aca="false">'8.EQUIPAM'!D76</f>
        <v>5488</v>
      </c>
      <c r="E22" s="495" t="n">
        <f aca="false">'8.EQUIPAM'!E76</f>
        <v>50</v>
      </c>
      <c r="F22" s="495" t="n">
        <f aca="false">'8.EQUIPAM'!H76+'8.EQUIPAM'!H106+'8.EQUIPAM'!H167+'8.EQUIPAM'!H228</f>
        <v>84383.3023255814</v>
      </c>
      <c r="G22" s="495" t="n">
        <f aca="false">'8.EQUIPAM'!J76+'8.EQUIPAM'!J106+'8.EQUIPAM'!J167+'8.EQUIPAM'!J228</f>
        <v>63867.3023255814</v>
      </c>
      <c r="H22" s="495" t="n">
        <f aca="false">'8.EQUIPAM'!L76+'8.EQUIPAM'!L106+'8.EQUIPAM'!L167+'8.EQUIPAM'!L228</f>
        <v>60460.3023255814</v>
      </c>
      <c r="I22" s="496" t="n">
        <f aca="false">F22/D22</f>
        <v>15.3759661671978</v>
      </c>
      <c r="J22" s="496" t="n">
        <f aca="false">F22/E22</f>
        <v>1687.66604651163</v>
      </c>
      <c r="K22" s="496" t="n">
        <f aca="false">G22/D22</f>
        <v>11.637627974778</v>
      </c>
      <c r="L22" s="496" t="n">
        <f aca="false">G22/E22</f>
        <v>1277.34604651163</v>
      </c>
      <c r="M22" s="496" t="n">
        <f aca="false">H22/D22</f>
        <v>11.0168189368771</v>
      </c>
      <c r="N22" s="496" t="n">
        <f aca="false">H22/E22</f>
        <v>1209.20604651163</v>
      </c>
      <c r="O22" s="497" t="n">
        <f aca="false">(M22-I22)/I22</f>
        <v>-0.283503955648671</v>
      </c>
      <c r="P22" s="497" t="n">
        <f aca="false">(N22-J22)/J22</f>
        <v>-0.283503955648671</v>
      </c>
      <c r="Q22" s="497" t="n">
        <f aca="false">(H22-F22)/F22</f>
        <v>-0.283503955648671</v>
      </c>
    </row>
    <row r="23" s="488" customFormat="true" ht="12.75" hidden="false" customHeight="false" outlineLevel="0" collapsed="false">
      <c r="B23" s="493" t="str">
        <f aca="false">'8.EQUIPAM'!A77</f>
        <v>local comercial</v>
      </c>
      <c r="C23" s="494" t="str">
        <f aca="false">'8.EQUIPAM'!B77</f>
        <v>Altres</v>
      </c>
      <c r="D23" s="495" t="n">
        <f aca="false">'8.EQUIPAM'!D77</f>
        <v>53</v>
      </c>
      <c r="E23" s="495" t="s">
        <v>86</v>
      </c>
      <c r="F23" s="495" t="n">
        <f aca="false">'8.EQUIPAM'!H77+'8.EQUIPAM'!H107+'8.EQUIPAM'!H168+'8.EQUIPAM'!H229</f>
        <v>10032</v>
      </c>
      <c r="G23" s="495" t="n">
        <f aca="false">'8.EQUIPAM'!J77+'8.EQUIPAM'!J107+'8.EQUIPAM'!J168+'8.EQUIPAM'!J229</f>
        <v>12853</v>
      </c>
      <c r="H23" s="495" t="n">
        <f aca="false">'8.EQUIPAM'!L77+'8.EQUIPAM'!L107+'8.EQUIPAM'!L168+'8.EQUIPAM'!L229</f>
        <v>15728</v>
      </c>
      <c r="I23" s="496" t="n">
        <f aca="false">F23/D23</f>
        <v>189.283018867925</v>
      </c>
      <c r="J23" s="496" t="e">
        <f aca="false">F23/E23</f>
        <v>#VALUE!</v>
      </c>
      <c r="K23" s="496" t="n">
        <f aca="false">G23/D23</f>
        <v>242.509433962264</v>
      </c>
      <c r="L23" s="496" t="e">
        <f aca="false">G23/E23</f>
        <v>#VALUE!</v>
      </c>
      <c r="M23" s="496" t="n">
        <f aca="false">H23/D23</f>
        <v>296.754716981132</v>
      </c>
      <c r="N23" s="496" t="e">
        <f aca="false">H23/E23</f>
        <v>#VALUE!</v>
      </c>
      <c r="O23" s="497" t="n">
        <f aca="false">(M23-I23)/I23</f>
        <v>0.567783094098883</v>
      </c>
      <c r="P23" s="497" t="e">
        <f aca="false">(N23-J23)/J23</f>
        <v>#VALUE!</v>
      </c>
      <c r="Q23" s="497" t="n">
        <f aca="false">(H23-F23)/F23</f>
        <v>0.567783094098884</v>
      </c>
    </row>
    <row r="24" s="488" customFormat="true" ht="25.5" hidden="false" customHeight="false" outlineLevel="0" collapsed="false">
      <c r="B24" s="493" t="str">
        <f aca="false">'8.EQUIPAM'!A78</f>
        <v>Casa cultural i assistencial</v>
      </c>
      <c r="C24" s="494" t="str">
        <f aca="false">'8.EQUIPAM'!B78</f>
        <v>Sociocultural</v>
      </c>
      <c r="D24" s="495" t="n">
        <f aca="false">'8.EQUIPAM'!D78</f>
        <v>348</v>
      </c>
      <c r="E24" s="495" t="s">
        <v>86</v>
      </c>
      <c r="F24" s="495" t="n">
        <f aca="false">'8.EQUIPAM'!H78+'8.EQUIPAM'!H108+'8.EQUIPAM'!H169+'8.EQUIPAM'!H230</f>
        <v>6563</v>
      </c>
      <c r="G24" s="495" t="n">
        <f aca="false">'8.EQUIPAM'!J78+'8.EQUIPAM'!J108+'8.EQUIPAM'!J169+'8.EQUIPAM'!J230</f>
        <v>8780</v>
      </c>
      <c r="H24" s="495" t="n">
        <f aca="false">'8.EQUIPAM'!L78+'8.EQUIPAM'!L108+'8.EQUIPAM'!L169+'8.EQUIPAM'!L230</f>
        <v>11281</v>
      </c>
      <c r="I24" s="496" t="n">
        <f aca="false">F24/D24</f>
        <v>18.8591954022989</v>
      </c>
      <c r="J24" s="496" t="e">
        <f aca="false">F24/E24</f>
        <v>#VALUE!</v>
      </c>
      <c r="K24" s="496" t="n">
        <f aca="false">G24/D24</f>
        <v>25.2298850574713</v>
      </c>
      <c r="L24" s="496" t="e">
        <f aca="false">G24/E24</f>
        <v>#VALUE!</v>
      </c>
      <c r="M24" s="496" t="n">
        <f aca="false">H24/D24</f>
        <v>32.4166666666667</v>
      </c>
      <c r="N24" s="496" t="e">
        <f aca="false">H24/E24</f>
        <v>#VALUE!</v>
      </c>
      <c r="O24" s="497" t="n">
        <f aca="false">(M24-I24)/I24</f>
        <v>0.718878561633399</v>
      </c>
      <c r="P24" s="497" t="e">
        <f aca="false">(N24-J24)/J24</f>
        <v>#VALUE!</v>
      </c>
      <c r="Q24" s="497" t="n">
        <f aca="false">(H24-F24)/F24</f>
        <v>0.718878561633399</v>
      </c>
    </row>
    <row r="25" s="488" customFormat="true" ht="25.5" hidden="false" customHeight="false" outlineLevel="0" collapsed="false">
      <c r="B25" s="493" t="str">
        <f aca="false">'8.EQUIPAM'!A79</f>
        <v>Centre de salut</v>
      </c>
      <c r="C25" s="494" t="str">
        <f aca="false">'8.EQUIPAM'!B79</f>
        <v>Sociocultural</v>
      </c>
      <c r="D25" s="495" t="n">
        <f aca="false">'8.EQUIPAM'!D79</f>
        <v>727</v>
      </c>
      <c r="E25" s="495" t="s">
        <v>86</v>
      </c>
      <c r="F25" s="495" t="n">
        <f aca="false">'8.EQUIPAM'!H79+'8.EQUIPAM'!H109+'8.EQUIPAM'!H170+'8.EQUIPAM'!H231</f>
        <v>64925</v>
      </c>
      <c r="G25" s="495" t="n">
        <f aca="false">'8.EQUIPAM'!J79+'8.EQUIPAM'!J109+'8.EQUIPAM'!J170+'8.EQUIPAM'!J231</f>
        <v>59325</v>
      </c>
      <c r="H25" s="495" t="n">
        <f aca="false">'8.EQUIPAM'!L79+'8.EQUIPAM'!L109+'8.EQUIPAM'!L170+'8.EQUIPAM'!L231</f>
        <v>60246</v>
      </c>
      <c r="I25" s="496" t="n">
        <f aca="false">F25/D25</f>
        <v>89.3053645116919</v>
      </c>
      <c r="J25" s="496" t="e">
        <f aca="false">F25/E25</f>
        <v>#VALUE!</v>
      </c>
      <c r="K25" s="496" t="n">
        <f aca="false">G25/D25</f>
        <v>81.6024759284732</v>
      </c>
      <c r="L25" s="496" t="e">
        <f aca="false">G25/E25</f>
        <v>#VALUE!</v>
      </c>
      <c r="M25" s="496" t="n">
        <f aca="false">H25/D25</f>
        <v>82.869325997249</v>
      </c>
      <c r="N25" s="496" t="e">
        <f aca="false">H25/E25</f>
        <v>#VALUE!</v>
      </c>
      <c r="O25" s="497" t="n">
        <f aca="false">(M25-I25)/I25</f>
        <v>-0.0720677705044283</v>
      </c>
      <c r="P25" s="497" t="e">
        <f aca="false">(N25-J25)/J25</f>
        <v>#VALUE!</v>
      </c>
      <c r="Q25" s="497" t="n">
        <f aca="false">(H25-F25)/F25</f>
        <v>-0.0720677705044282</v>
      </c>
    </row>
    <row r="26" s="488" customFormat="true" ht="12.75" hidden="false" customHeight="false" outlineLevel="0" collapsed="false">
      <c r="B26" s="493" t="str">
        <f aca="false">'8.EQUIPAM'!A80</f>
        <v>Institut Baltasar Porcel</v>
      </c>
      <c r="C26" s="494" t="str">
        <f aca="false">'8.EQUIPAM'!B80</f>
        <v>Educatiu</v>
      </c>
      <c r="D26" s="495" t="n">
        <f aca="false">'8.EQUIPAM'!D80</f>
        <v>5361</v>
      </c>
      <c r="E26" s="495" t="s">
        <v>86</v>
      </c>
      <c r="F26" s="495" t="n">
        <f aca="false">'8.EQUIPAM'!H80+'8.EQUIPAM'!H110+'8.EQUIPAM'!H171+'8.EQUIPAM'!H232</f>
        <v>48136</v>
      </c>
      <c r="G26" s="495" t="n">
        <f aca="false">'8.EQUIPAM'!J80+'8.EQUIPAM'!J110+'8.EQUIPAM'!J171+'8.EQUIPAM'!J232</f>
        <v>28832</v>
      </c>
      <c r="H26" s="495" t="n">
        <f aca="false">'8.EQUIPAM'!L80+'8.EQUIPAM'!L110+'8.EQUIPAM'!L171+'8.EQUIPAM'!L232</f>
        <v>45674</v>
      </c>
      <c r="I26" s="496" t="n">
        <f aca="false">F26/D26</f>
        <v>8.97892184293975</v>
      </c>
      <c r="J26" s="496" t="e">
        <f aca="false">F26/E26</f>
        <v>#VALUE!</v>
      </c>
      <c r="K26" s="496" t="n">
        <f aca="false">G26/D26</f>
        <v>5.37810110054094</v>
      </c>
      <c r="L26" s="496" t="e">
        <f aca="false">G26/E26</f>
        <v>#VALUE!</v>
      </c>
      <c r="M26" s="496" t="n">
        <f aca="false">H26/D26</f>
        <v>8.51967916433501</v>
      </c>
      <c r="N26" s="496" t="e">
        <f aca="false">H26/E26</f>
        <v>#VALUE!</v>
      </c>
      <c r="O26" s="497" t="n">
        <f aca="false">(M26-I26)/I26</f>
        <v>-0.0511467508725279</v>
      </c>
      <c r="P26" s="497" t="e">
        <f aca="false">(N26-J26)/J26</f>
        <v>#VALUE!</v>
      </c>
      <c r="Q26" s="497" t="n">
        <f aca="false">(H26-F26)/F26</f>
        <v>-0.0511467508725278</v>
      </c>
    </row>
    <row r="27" s="488" customFormat="true" ht="12.75" hidden="false" customHeight="false" outlineLevel="0" collapsed="false">
      <c r="B27" s="493" t="str">
        <f aca="false">'8.EQUIPAM'!A81</f>
        <v>Escola Ses Bassetes</v>
      </c>
      <c r="C27" s="494" t="str">
        <f aca="false">'8.EQUIPAM'!B81</f>
        <v>Educatiu</v>
      </c>
      <c r="D27" s="495" t="n">
        <f aca="false">'8.EQUIPAM'!D81</f>
        <v>238</v>
      </c>
      <c r="E27" s="495" t="s">
        <v>86</v>
      </c>
      <c r="F27" s="495" t="n">
        <f aca="false">'8.EQUIPAM'!H81+'8.EQUIPAM'!H111+'8.EQUIPAM'!H172+'8.EQUIPAM'!H233</f>
        <v>26875</v>
      </c>
      <c r="G27" s="495" t="n">
        <f aca="false">'8.EQUIPAM'!J81+'8.EQUIPAM'!J111+'8.EQUIPAM'!J172+'8.EQUIPAM'!J233</f>
        <v>26177</v>
      </c>
      <c r="H27" s="495" t="n">
        <f aca="false">'8.EQUIPAM'!L81+'8.EQUIPAM'!L111+'8.EQUIPAM'!L172+'8.EQUIPAM'!L233</f>
        <v>33981</v>
      </c>
      <c r="I27" s="496" t="n">
        <f aca="false">F27/D27</f>
        <v>112.920168067227</v>
      </c>
      <c r="J27" s="496" t="e">
        <f aca="false">F27/E27</f>
        <v>#VALUE!</v>
      </c>
      <c r="K27" s="496" t="n">
        <f aca="false">G27/D27</f>
        <v>109.987394957983</v>
      </c>
      <c r="L27" s="496" t="e">
        <f aca="false">G27/E27</f>
        <v>#VALUE!</v>
      </c>
      <c r="M27" s="496" t="n">
        <f aca="false">H27/D27</f>
        <v>142.77731092437</v>
      </c>
      <c r="N27" s="496" t="e">
        <f aca="false">H27/E27</f>
        <v>#VALUE!</v>
      </c>
      <c r="O27" s="497" t="n">
        <f aca="false">(M27-I27)/I27</f>
        <v>0.264409302325581</v>
      </c>
      <c r="P27" s="497" t="e">
        <f aca="false">(N27-J27)/J27</f>
        <v>#VALUE!</v>
      </c>
      <c r="Q27" s="497" t="n">
        <f aca="false">(H27-F27)/F27</f>
        <v>0.264409302325581</v>
      </c>
    </row>
    <row r="28" s="488" customFormat="true" ht="12.75" hidden="false" customHeight="false" outlineLevel="0" collapsed="false">
      <c r="B28" s="493" t="str">
        <f aca="false">'8.EQUIPAM'!A82</f>
        <v>Escola Ses Bassetes</v>
      </c>
      <c r="C28" s="494" t="str">
        <f aca="false">'8.EQUIPAM'!B82</f>
        <v>Educatiu</v>
      </c>
      <c r="D28" s="495" t="n">
        <f aca="false">'8.EQUIPAM'!D82</f>
        <v>238</v>
      </c>
      <c r="E28" s="495" t="s">
        <v>86</v>
      </c>
      <c r="F28" s="495" t="n">
        <f aca="false">'8.EQUIPAM'!H82+'8.EQUIPAM'!H112+'8.EQUIPAM'!H173+'8.EQUIPAM'!H234</f>
        <v>38946</v>
      </c>
      <c r="G28" s="495" t="n">
        <f aca="false">'8.EQUIPAM'!J82+'8.EQUIPAM'!J112+'8.EQUIPAM'!J173+'8.EQUIPAM'!J234</f>
        <v>33904</v>
      </c>
      <c r="H28" s="495" t="n">
        <f aca="false">'8.EQUIPAM'!L82+'8.EQUIPAM'!L112+'8.EQUIPAM'!L173+'8.EQUIPAM'!L234</f>
        <v>36339</v>
      </c>
      <c r="I28" s="496" t="n">
        <f aca="false">F28/D28</f>
        <v>163.638655462185</v>
      </c>
      <c r="J28" s="496" t="e">
        <f aca="false">F28/E28</f>
        <v>#VALUE!</v>
      </c>
      <c r="K28" s="496" t="n">
        <f aca="false">G28/D28</f>
        <v>142.453781512605</v>
      </c>
      <c r="L28" s="496" t="e">
        <f aca="false">G28/E28</f>
        <v>#VALUE!</v>
      </c>
      <c r="M28" s="496" t="n">
        <f aca="false">H28/D28</f>
        <v>152.68487394958</v>
      </c>
      <c r="N28" s="496" t="e">
        <f aca="false">H28/E28</f>
        <v>#VALUE!</v>
      </c>
      <c r="O28" s="497" t="n">
        <f aca="false">(M28-I28)/I28</f>
        <v>-0.0669388383916192</v>
      </c>
      <c r="P28" s="497" t="e">
        <f aca="false">(N28-J28)/J28</f>
        <v>#VALUE!</v>
      </c>
      <c r="Q28" s="497" t="n">
        <f aca="false">(H28-F28)/F28</f>
        <v>-0.0669388383916192</v>
      </c>
    </row>
    <row r="29" customFormat="false" ht="25.5" hidden="false" customHeight="false" outlineLevel="0" collapsed="false">
      <c r="A29" s="488"/>
      <c r="B29" s="493" t="str">
        <f aca="false">'8.EQUIPAM'!A83</f>
        <v>Local gent gran</v>
      </c>
      <c r="C29" s="494" t="str">
        <f aca="false">'8.EQUIPAM'!B83</f>
        <v>Sociocultural</v>
      </c>
      <c r="D29" s="495" t="n">
        <f aca="false">'8.EQUIPAM'!D83</f>
        <v>936</v>
      </c>
      <c r="E29" s="495" t="s">
        <v>86</v>
      </c>
      <c r="F29" s="495" t="n">
        <f aca="false">'8.EQUIPAM'!H83+'8.EQUIPAM'!H113+'8.EQUIPAM'!H174+'8.EQUIPAM'!H235</f>
        <v>76975</v>
      </c>
      <c r="G29" s="495" t="s">
        <v>86</v>
      </c>
      <c r="H29" s="495" t="n">
        <f aca="false">'8.EQUIPAM'!L83+'8.EQUIPAM'!L113+'8.EQUIPAM'!L174+'8.EQUIPAM'!L235</f>
        <v>41308</v>
      </c>
      <c r="I29" s="496" t="n">
        <f aca="false">F29/D29</f>
        <v>82.2382478632479</v>
      </c>
      <c r="J29" s="496" t="e">
        <f aca="false">F29/E29</f>
        <v>#VALUE!</v>
      </c>
      <c r="K29" s="496" t="e">
        <f aca="false">G29/D29</f>
        <v>#VALUE!</v>
      </c>
      <c r="L29" s="496" t="e">
        <f aca="false">G29/E29</f>
        <v>#VALUE!</v>
      </c>
      <c r="M29" s="496" t="n">
        <f aca="false">H29/D29</f>
        <v>44.1324786324786</v>
      </c>
      <c r="N29" s="496" t="e">
        <f aca="false">H29/E29</f>
        <v>#VALUE!</v>
      </c>
      <c r="O29" s="497" t="n">
        <f aca="false">(M29-I29)/I29</f>
        <v>-0.463358233192595</v>
      </c>
      <c r="P29" s="498" t="e">
        <f aca="false">(N29-J29)/J29</f>
        <v>#VALUE!</v>
      </c>
      <c r="Q29" s="498" t="n">
        <f aca="false">(H29-F29)/F29</f>
        <v>-0.463358233192595</v>
      </c>
    </row>
    <row r="30" customFormat="false" ht="12.75" hidden="false" customHeight="false" outlineLevel="0" collapsed="false">
      <c r="A30" s="488"/>
      <c r="B30" s="490"/>
      <c r="P30" s="499"/>
      <c r="Q30" s="500"/>
    </row>
    <row r="31" customFormat="false" ht="12.75" hidden="false" customHeight="false" outlineLevel="0" collapsed="false">
      <c r="A31" s="488"/>
      <c r="B31" s="489" t="s">
        <v>827</v>
      </c>
      <c r="P31" s="499"/>
      <c r="Q31" s="500"/>
    </row>
    <row r="32" s="501" customFormat="true" ht="12.75" hidden="false" customHeight="true" outlineLevel="0" collapsed="false">
      <c r="B32" s="502"/>
      <c r="H32" s="492" t="s">
        <v>822</v>
      </c>
      <c r="I32" s="492"/>
      <c r="J32" s="492"/>
      <c r="K32" s="492" t="s">
        <v>828</v>
      </c>
      <c r="L32" s="492"/>
      <c r="M32" s="492"/>
      <c r="P32" s="503"/>
      <c r="Q32" s="500"/>
    </row>
    <row r="33" customFormat="false" ht="38.25" hidden="false" customHeight="false" outlineLevel="0" collapsed="false">
      <c r="A33" s="501"/>
      <c r="B33" s="492" t="s">
        <v>829</v>
      </c>
      <c r="C33" s="492" t="s">
        <v>830</v>
      </c>
      <c r="D33" s="492" t="s">
        <v>831</v>
      </c>
      <c r="E33" s="492" t="s">
        <v>832</v>
      </c>
      <c r="F33" s="492" t="s">
        <v>833</v>
      </c>
      <c r="G33" s="492" t="s">
        <v>404</v>
      </c>
      <c r="H33" s="492" t="n">
        <v>2005</v>
      </c>
      <c r="I33" s="492" t="n">
        <v>2007</v>
      </c>
      <c r="J33" s="492" t="n">
        <v>2009</v>
      </c>
      <c r="K33" s="492" t="n">
        <v>2005</v>
      </c>
      <c r="L33" s="492" t="n">
        <v>2007</v>
      </c>
      <c r="M33" s="492" t="n">
        <v>2009</v>
      </c>
      <c r="N33" s="492" t="s">
        <v>582</v>
      </c>
      <c r="P33" s="503"/>
      <c r="Q33" s="500"/>
    </row>
    <row r="34" customFormat="false" ht="25.5" hidden="false" customHeight="false" outlineLevel="0" collapsed="false">
      <c r="A34" s="501"/>
      <c r="B34" s="504" t="str">
        <f aca="false">'9.ENLLUME i SEMÀFORS'!C19</f>
        <v>GALICIA, CAMI VINYET, ANDRATX, 07150</v>
      </c>
      <c r="C34" s="505" t="str">
        <f aca="false">'9.ENLLUME i SEMÀFORS'!B19</f>
        <v>GZZ0541230001</v>
      </c>
      <c r="D34" s="505" t="n">
        <f aca="false">'9.ENLLUME i SEMÀFORS'!D19</f>
        <v>9900</v>
      </c>
      <c r="E34" s="505" t="str">
        <f aca="false">'9.ENLLUME i SEMÀFORS'!F19</f>
        <v>rellotge astronòmic</v>
      </c>
      <c r="F34" s="505" t="str">
        <f aca="false">'9.ENLLUME i SEMÀFORS'!E19</f>
        <v>no</v>
      </c>
      <c r="G34" s="506" t="n">
        <v>2781</v>
      </c>
      <c r="H34" s="505" t="n">
        <f aca="false">'9.ENLLUME i SEMÀFORS'!G19</f>
        <v>2922</v>
      </c>
      <c r="I34" s="505" t="n">
        <f aca="false">'9.ENLLUME i SEMÀFORS'!I19</f>
        <v>3927</v>
      </c>
      <c r="J34" s="505" t="n">
        <f aca="false">'9.ENLLUME i SEMÀFORS'!K19</f>
        <v>3642</v>
      </c>
      <c r="K34" s="507" t="n">
        <f aca="false">H34/G34</f>
        <v>1.05070118662352</v>
      </c>
      <c r="L34" s="507" t="n">
        <f aca="false">I34/G34</f>
        <v>1.41208198489752</v>
      </c>
      <c r="M34" s="507" t="n">
        <f aca="false">J34/G34</f>
        <v>1.30960086299892</v>
      </c>
      <c r="N34" s="497" t="n">
        <f aca="false">(J34-H34)/H34</f>
        <v>0.246406570841889</v>
      </c>
      <c r="P34" s="503"/>
      <c r="Q34" s="500"/>
    </row>
    <row r="35" customFormat="false" ht="38.25" hidden="false" customHeight="false" outlineLevel="0" collapsed="false">
      <c r="A35" s="501"/>
      <c r="B35" s="504" t="str">
        <f aca="false">'9.ENLLUME i SEMÀFORS'!C20</f>
        <v>SON PRIM, ALUMBRADO PUBLICO FRTE.Nº 3, ANDRATX, 07</v>
      </c>
      <c r="C35" s="505" t="str">
        <f aca="false">'9.ENLLUME i SEMÀFORS'!B20</f>
        <v>GZZ0643144001</v>
      </c>
      <c r="D35" s="505" t="n">
        <f aca="false">'9.ENLLUME i SEMÀFORS'!D20</f>
        <v>9698</v>
      </c>
      <c r="E35" s="505" t="str">
        <f aca="false">'9.ENLLUME i SEMÀFORS'!F20</f>
        <v>rellotge astronòmic</v>
      </c>
      <c r="F35" s="505" t="str">
        <f aca="false">'9.ENLLUME i SEMÀFORS'!E20</f>
        <v>no</v>
      </c>
      <c r="G35" s="506"/>
      <c r="H35" s="505" t="n">
        <f aca="false">'9.ENLLUME i SEMÀFORS'!G20</f>
        <v>0</v>
      </c>
      <c r="I35" s="505" t="n">
        <f aca="false">'9.ENLLUME i SEMÀFORS'!I20</f>
        <v>0</v>
      </c>
      <c r="J35" s="505" t="n">
        <f aca="false">'9.ENLLUME i SEMÀFORS'!K20</f>
        <v>0</v>
      </c>
      <c r="K35" s="507" t="e">
        <f aca="false">H35/G35</f>
        <v>#DIV/0!</v>
      </c>
      <c r="L35" s="507" t="e">
        <f aca="false">I35/G35</f>
        <v>#DIV/0!</v>
      </c>
      <c r="M35" s="507" t="e">
        <f aca="false">J35/G35</f>
        <v>#DIV/0!</v>
      </c>
      <c r="N35" s="497" t="s">
        <v>86</v>
      </c>
      <c r="P35" s="503"/>
      <c r="Q35" s="500"/>
    </row>
    <row r="36" customFormat="false" ht="25.5" hidden="false" customHeight="false" outlineLevel="0" collapsed="false">
      <c r="A36" s="501"/>
      <c r="B36" s="504" t="str">
        <f aca="false">'9.ENLLUME i SEMÀFORS'!C21</f>
        <v>SON MAS, SON MUS C710, ANDRATX, 07150</v>
      </c>
      <c r="C36" s="505" t="str">
        <f aca="false">'9.ENLLUME i SEMÀFORS'!B21</f>
        <v>GZZ0541432001</v>
      </c>
      <c r="D36" s="505" t="n">
        <f aca="false">'9.ENLLUME i SEMÀFORS'!D21</f>
        <v>4950</v>
      </c>
      <c r="E36" s="505" t="str">
        <f aca="false">'9.ENLLUME i SEMÀFORS'!F21</f>
        <v>rellotge astronòmic</v>
      </c>
      <c r="F36" s="505" t="str">
        <f aca="false">'9.ENLLUME i SEMÀFORS'!E21</f>
        <v>no</v>
      </c>
      <c r="G36" s="506"/>
      <c r="H36" s="505" t="n">
        <f aca="false">'9.ENLLUME i SEMÀFORS'!G21</f>
        <v>26384</v>
      </c>
      <c r="I36" s="505" t="n">
        <f aca="false">'9.ENLLUME i SEMÀFORS'!I21</f>
        <v>21390</v>
      </c>
      <c r="J36" s="505" t="n">
        <f aca="false">'9.ENLLUME i SEMÀFORS'!K21</f>
        <v>35840</v>
      </c>
      <c r="K36" s="507" t="e">
        <f aca="false">H36/G36</f>
        <v>#DIV/0!</v>
      </c>
      <c r="L36" s="507" t="e">
        <f aca="false">I36/G36</f>
        <v>#DIV/0!</v>
      </c>
      <c r="M36" s="507" t="e">
        <f aca="false">J36/G36</f>
        <v>#DIV/0!</v>
      </c>
      <c r="N36" s="497" t="n">
        <f aca="false">(J36-H36)/H36</f>
        <v>0.358399029714979</v>
      </c>
      <c r="P36" s="503"/>
      <c r="Q36" s="500"/>
    </row>
    <row r="37" customFormat="false" ht="25.5" hidden="false" customHeight="false" outlineLevel="0" collapsed="false">
      <c r="A37" s="501"/>
      <c r="B37" s="504" t="str">
        <f aca="false">'9.ENLLUME i SEMÀFORS'!C22</f>
        <v>TRAV.SA TANQUETA, ESQUINA BISCAIA-ALDO, ANDRATX, 0</v>
      </c>
      <c r="C37" s="505" t="str">
        <f aca="false">'9.ENLLUME i SEMÀFORS'!B22</f>
        <v>GZZ0548145001</v>
      </c>
      <c r="D37" s="505" t="n">
        <f aca="false">'9.ENLLUME i SEMÀFORS'!D22</f>
        <v>13200</v>
      </c>
      <c r="E37" s="505" t="str">
        <f aca="false">'9.ENLLUME i SEMÀFORS'!F22</f>
        <v>rellotge astronòmic</v>
      </c>
      <c r="F37" s="505" t="str">
        <f aca="false">'9.ENLLUME i SEMÀFORS'!E22</f>
        <v>no</v>
      </c>
      <c r="G37" s="506"/>
      <c r="H37" s="505" t="n">
        <f aca="false">'9.ENLLUME i SEMÀFORS'!G22</f>
        <v>18717</v>
      </c>
      <c r="I37" s="505" t="n">
        <f aca="false">'9.ENLLUME i SEMÀFORS'!I22</f>
        <v>19426</v>
      </c>
      <c r="J37" s="505" t="n">
        <f aca="false">'9.ENLLUME i SEMÀFORS'!K22</f>
        <v>21270</v>
      </c>
      <c r="K37" s="507" t="e">
        <f aca="false">H37/G37</f>
        <v>#DIV/0!</v>
      </c>
      <c r="L37" s="507" t="e">
        <f aca="false">I37/G37</f>
        <v>#DIV/0!</v>
      </c>
      <c r="M37" s="507" t="e">
        <f aca="false">J37/G37</f>
        <v>#DIV/0!</v>
      </c>
      <c r="N37" s="497" t="n">
        <f aca="false">(J37-H37)/H37</f>
        <v>0.136400064112839</v>
      </c>
      <c r="P37" s="503"/>
      <c r="Q37" s="500"/>
    </row>
    <row r="38" customFormat="false" ht="25.5" hidden="false" customHeight="false" outlineLevel="0" collapsed="false">
      <c r="A38" s="501"/>
      <c r="B38" s="504" t="str">
        <f aca="false">'9.ENLLUME i SEMÀFORS'!C23</f>
        <v>METGE D. GASPAR PUJOL 44, FTE.R.LLUL, ANDRATX, 071</v>
      </c>
      <c r="C38" s="505" t="str">
        <f aca="false">'9.ENLLUME i SEMÀFORS'!B23</f>
        <v>GZZ0548147001</v>
      </c>
      <c r="D38" s="505" t="n">
        <f aca="false">'9.ENLLUME i SEMÀFORS'!D23</f>
        <v>16500</v>
      </c>
      <c r="E38" s="505" t="str">
        <f aca="false">'9.ENLLUME i SEMÀFORS'!F23</f>
        <v>rellotge astronòmic</v>
      </c>
      <c r="F38" s="505" t="str">
        <f aca="false">'9.ENLLUME i SEMÀFORS'!E23</f>
        <v>no</v>
      </c>
      <c r="G38" s="506"/>
      <c r="H38" s="505" t="n">
        <f aca="false">'9.ENLLUME i SEMÀFORS'!G23</f>
        <v>22406</v>
      </c>
      <c r="I38" s="505" t="n">
        <f aca="false">'9.ENLLUME i SEMÀFORS'!I23</f>
        <v>33528</v>
      </c>
      <c r="J38" s="505" t="n">
        <f aca="false">'9.ENLLUME i SEMÀFORS'!K23</f>
        <v>49930</v>
      </c>
      <c r="K38" s="507" t="e">
        <f aca="false">H38/G38</f>
        <v>#DIV/0!</v>
      </c>
      <c r="L38" s="507" t="e">
        <f aca="false">I38/G38</f>
        <v>#DIV/0!</v>
      </c>
      <c r="M38" s="507" t="e">
        <f aca="false">J38/G38</f>
        <v>#DIV/0!</v>
      </c>
      <c r="N38" s="497" t="n">
        <f aca="false">(J38-H38)/H38</f>
        <v>1.22842095867178</v>
      </c>
      <c r="P38" s="503"/>
      <c r="Q38" s="500"/>
    </row>
    <row r="39" customFormat="false" ht="12.75" hidden="false" customHeight="false" outlineLevel="0" collapsed="false">
      <c r="A39" s="501"/>
      <c r="B39" s="504" t="str">
        <f aca="false">'9.ENLLUME i SEMÀFORS'!C24</f>
        <v>SON ESTEVA, ANDRATX, 07150</v>
      </c>
      <c r="C39" s="505" t="str">
        <f aca="false">'9.ENLLUME i SEMÀFORS'!B24</f>
        <v>GZZ0189541001</v>
      </c>
      <c r="D39" s="505" t="n">
        <f aca="false">'9.ENLLUME i SEMÀFORS'!D24</f>
        <v>34641</v>
      </c>
      <c r="E39" s="505" t="str">
        <f aca="false">'9.ENLLUME i SEMÀFORS'!F24</f>
        <v>rellotge astronòmic</v>
      </c>
      <c r="F39" s="505" t="str">
        <f aca="false">'9.ENLLUME i SEMÀFORS'!E24</f>
        <v>no</v>
      </c>
      <c r="G39" s="506"/>
      <c r="H39" s="505" t="n">
        <f aca="false">'9.ENLLUME i SEMÀFORS'!G24</f>
        <v>34403</v>
      </c>
      <c r="I39" s="505" t="n">
        <f aca="false">'9.ENLLUME i SEMÀFORS'!I24</f>
        <v>16088</v>
      </c>
      <c r="J39" s="505" t="n">
        <f aca="false">'9.ENLLUME i SEMÀFORS'!K24</f>
        <v>43761</v>
      </c>
      <c r="K39" s="507" t="e">
        <f aca="false">H39/G39</f>
        <v>#DIV/0!</v>
      </c>
      <c r="L39" s="507" t="e">
        <f aca="false">I39/G39</f>
        <v>#DIV/0!</v>
      </c>
      <c r="M39" s="507" t="e">
        <f aca="false">J39/G39</f>
        <v>#DIV/0!</v>
      </c>
      <c r="N39" s="497" t="n">
        <f aca="false">(J39-H39)/H39</f>
        <v>0.272011161817283</v>
      </c>
      <c r="P39" s="503"/>
      <c r="Q39" s="500"/>
    </row>
    <row r="40" customFormat="false" ht="12.75" hidden="false" customHeight="false" outlineLevel="0" collapsed="false">
      <c r="A40" s="501"/>
      <c r="B40" s="504" t="str">
        <f aca="false">'9.ENLLUME i SEMÀFORS'!C25</f>
        <v>CUBA, ANDRATX, 07150</v>
      </c>
      <c r="C40" s="505" t="str">
        <f aca="false">'9.ENLLUME i SEMÀFORS'!B25</f>
        <v>GZZ0187797001</v>
      </c>
      <c r="D40" s="505" t="n">
        <f aca="false">'9.ENLLUME i SEMÀFORS'!D25</f>
        <v>13200</v>
      </c>
      <c r="E40" s="505" t="str">
        <f aca="false">'9.ENLLUME i SEMÀFORS'!F25</f>
        <v>rellotge astronòmic</v>
      </c>
      <c r="F40" s="505" t="str">
        <f aca="false">'9.ENLLUME i SEMÀFORS'!E25</f>
        <v>no</v>
      </c>
      <c r="G40" s="506"/>
      <c r="H40" s="505" t="n">
        <f aca="false">'9.ENLLUME i SEMÀFORS'!G25</f>
        <v>24589</v>
      </c>
      <c r="I40" s="505" t="n">
        <f aca="false">'9.ENLLUME i SEMÀFORS'!I25</f>
        <v>21518</v>
      </c>
      <c r="J40" s="505" t="n">
        <f aca="false">'9.ENLLUME i SEMÀFORS'!K25</f>
        <v>25202</v>
      </c>
      <c r="K40" s="507" t="e">
        <f aca="false">H40/G40</f>
        <v>#DIV/0!</v>
      </c>
      <c r="L40" s="507" t="e">
        <f aca="false">I40/G40</f>
        <v>#DIV/0!</v>
      </c>
      <c r="M40" s="507" t="e">
        <f aca="false">J40/G40</f>
        <v>#DIV/0!</v>
      </c>
      <c r="N40" s="497" t="n">
        <f aca="false">(J40-H40)/H40</f>
        <v>0.0249298466794095</v>
      </c>
      <c r="P40" s="503"/>
      <c r="Q40" s="500"/>
    </row>
    <row r="41" customFormat="false" ht="25.5" hidden="false" customHeight="false" outlineLevel="0" collapsed="false">
      <c r="A41" s="501"/>
      <c r="B41" s="504" t="str">
        <f aca="false">'9.ENLLUME i SEMÀFORS'!C26</f>
        <v>JOSE ENSEÑAT, ESQUINA BISCAIA, ANDRATX, 07150</v>
      </c>
      <c r="C41" s="505" t="str">
        <f aca="false">'9.ENLLUME i SEMÀFORS'!B26</f>
        <v>GZZ0189344002</v>
      </c>
      <c r="D41" s="505" t="n">
        <f aca="false">'9.ENLLUME i SEMÀFORS'!D26</f>
        <v>23100</v>
      </c>
      <c r="E41" s="505" t="str">
        <f aca="false">'9.ENLLUME i SEMÀFORS'!F26</f>
        <v>rellotge astronòmic</v>
      </c>
      <c r="F41" s="505" t="str">
        <f aca="false">'9.ENLLUME i SEMÀFORS'!E26</f>
        <v>no</v>
      </c>
      <c r="G41" s="506"/>
      <c r="H41" s="505" t="n">
        <f aca="false">'9.ENLLUME i SEMÀFORS'!G26</f>
        <v>48054</v>
      </c>
      <c r="I41" s="505" t="n">
        <f aca="false">'9.ENLLUME i SEMÀFORS'!I26</f>
        <v>43494</v>
      </c>
      <c r="J41" s="505" t="n">
        <f aca="false">'9.ENLLUME i SEMÀFORS'!K26</f>
        <v>53638</v>
      </c>
      <c r="K41" s="507" t="e">
        <f aca="false">H41/G41</f>
        <v>#DIV/0!</v>
      </c>
      <c r="L41" s="507" t="e">
        <f aca="false">I41/G41</f>
        <v>#DIV/0!</v>
      </c>
      <c r="M41" s="507" t="e">
        <f aca="false">J41/G41</f>
        <v>#DIV/0!</v>
      </c>
      <c r="N41" s="497" t="n">
        <f aca="false">(J41-H41)/H41</f>
        <v>0.116202605402256</v>
      </c>
      <c r="P41" s="503"/>
      <c r="Q41" s="500"/>
    </row>
    <row r="42" customFormat="false" ht="25.5" hidden="false" customHeight="false" outlineLevel="0" collapsed="false">
      <c r="A42" s="501"/>
      <c r="B42" s="504" t="str">
        <f aca="false">'9.ENLLUME i SEMÀFORS'!C27</f>
        <v>METGE D. GASPAR PUJOL 201, ANDRATX, 07150</v>
      </c>
      <c r="C42" s="505" t="str">
        <f aca="false">'9.ENLLUME i SEMÀFORS'!B27</f>
        <v>GZZ0190135001</v>
      </c>
      <c r="D42" s="505" t="n">
        <f aca="false">'9.ENLLUME i SEMÀFORS'!D27</f>
        <v>27713</v>
      </c>
      <c r="E42" s="505" t="str">
        <f aca="false">'9.ENLLUME i SEMÀFORS'!F27</f>
        <v>rellotge astronòmic</v>
      </c>
      <c r="F42" s="505" t="str">
        <f aca="false">'9.ENLLUME i SEMÀFORS'!E27</f>
        <v>no</v>
      </c>
      <c r="G42" s="506"/>
      <c r="H42" s="505" t="n">
        <f aca="false">'9.ENLLUME i SEMÀFORS'!G27</f>
        <v>62977</v>
      </c>
      <c r="I42" s="505" t="n">
        <f aca="false">'9.ENLLUME i SEMÀFORS'!I27</f>
        <v>58541</v>
      </c>
      <c r="J42" s="505" t="n">
        <f aca="false">'9.ENLLUME i SEMÀFORS'!K27</f>
        <v>69304</v>
      </c>
      <c r="K42" s="507" t="e">
        <f aca="false">H42/G42</f>
        <v>#DIV/0!</v>
      </c>
      <c r="L42" s="507" t="e">
        <f aca="false">I42/G42</f>
        <v>#DIV/0!</v>
      </c>
      <c r="M42" s="507" t="e">
        <f aca="false">J42/G42</f>
        <v>#DIV/0!</v>
      </c>
      <c r="N42" s="497" t="n">
        <f aca="false">(J42-H42)/H42</f>
        <v>0.100465249217968</v>
      </c>
      <c r="P42" s="503"/>
      <c r="Q42" s="500"/>
    </row>
    <row r="43" customFormat="false" ht="25.5" hidden="false" customHeight="false" outlineLevel="0" collapsed="false">
      <c r="A43" s="501"/>
      <c r="B43" s="504" t="str">
        <f aca="false">'9.ENLLUME i SEMÀFORS'!C28</f>
        <v>ANDALUCIA, ESQUINA GALICIA-ALDO, ANDRATX, 07150</v>
      </c>
      <c r="C43" s="505" t="str">
        <f aca="false">'9.ENLLUME i SEMÀFORS'!B28</f>
        <v>GZZ0548146001</v>
      </c>
      <c r="D43" s="505" t="n">
        <f aca="false">'9.ENLLUME i SEMÀFORS'!D28</f>
        <v>13200</v>
      </c>
      <c r="E43" s="505" t="str">
        <f aca="false">'9.ENLLUME i SEMÀFORS'!F28</f>
        <v>rellotge astronòmic</v>
      </c>
      <c r="F43" s="505" t="str">
        <f aca="false">'9.ENLLUME i SEMÀFORS'!E28</f>
        <v>no</v>
      </c>
      <c r="G43" s="506"/>
      <c r="H43" s="505" t="n">
        <f aca="false">'9.ENLLUME i SEMÀFORS'!G28</f>
        <v>28501</v>
      </c>
      <c r="I43" s="505" t="n">
        <f aca="false">'9.ENLLUME i SEMÀFORS'!I28</f>
        <v>27703</v>
      </c>
      <c r="J43" s="505" t="n">
        <f aca="false">'9.ENLLUME i SEMÀFORS'!K28</f>
        <v>29384</v>
      </c>
      <c r="K43" s="507" t="e">
        <f aca="false">H43/G43</f>
        <v>#DIV/0!</v>
      </c>
      <c r="L43" s="507" t="e">
        <f aca="false">I43/G43</f>
        <v>#DIV/0!</v>
      </c>
      <c r="M43" s="507" t="e">
        <f aca="false">J43/G43</f>
        <v>#DIV/0!</v>
      </c>
      <c r="N43" s="497" t="n">
        <f aca="false">(J43-H43)/H43</f>
        <v>0.0309813690747693</v>
      </c>
      <c r="P43" s="503"/>
      <c r="Q43" s="500"/>
    </row>
    <row r="44" customFormat="false" ht="25.5" hidden="false" customHeight="false" outlineLevel="0" collapsed="false">
      <c r="A44" s="501"/>
      <c r="B44" s="504" t="str">
        <f aca="false">'9.ENLLUME i SEMÀFORS'!C29</f>
        <v>CALA D'EGOS, HOTEL AL.PUB, PORT D'ANDRATX, 07157</v>
      </c>
      <c r="C44" s="505" t="str">
        <f aca="false">'9.ENLLUME i SEMÀFORS'!B29</f>
        <v>GZZ0555609001</v>
      </c>
      <c r="D44" s="505" t="n">
        <f aca="false">'9.ENLLUME i SEMÀFORS'!D29</f>
        <v>2000</v>
      </c>
      <c r="E44" s="505" t="str">
        <f aca="false">'9.ENLLUME i SEMÀFORS'!F29</f>
        <v>rellotge astronòmic</v>
      </c>
      <c r="F44" s="505" t="str">
        <f aca="false">'9.ENLLUME i SEMÀFORS'!E29</f>
        <v>no</v>
      </c>
      <c r="G44" s="506"/>
      <c r="H44" s="505" t="n">
        <f aca="false">'9.ENLLUME i SEMÀFORS'!G29</f>
        <v>9866</v>
      </c>
      <c r="I44" s="505" t="n">
        <f aca="false">'9.ENLLUME i SEMÀFORS'!I29</f>
        <v>18743</v>
      </c>
      <c r="J44" s="505" t="n">
        <f aca="false">'9.ENLLUME i SEMÀFORS'!K29</f>
        <v>16962</v>
      </c>
      <c r="K44" s="507" t="e">
        <f aca="false">H44/G44</f>
        <v>#DIV/0!</v>
      </c>
      <c r="L44" s="507" t="e">
        <f aca="false">I44/G44</f>
        <v>#DIV/0!</v>
      </c>
      <c r="M44" s="507" t="e">
        <f aca="false">J44/G44</f>
        <v>#DIV/0!</v>
      </c>
      <c r="N44" s="497" t="n">
        <f aca="false">(J44-H44)/H44</f>
        <v>0.719237786336915</v>
      </c>
      <c r="P44" s="503"/>
      <c r="Q44" s="500"/>
    </row>
    <row r="45" customFormat="false" ht="25.5" hidden="false" customHeight="false" outlineLevel="0" collapsed="false">
      <c r="A45" s="501"/>
      <c r="B45" s="504" t="str">
        <f aca="false">'9.ENLLUME i SEMÀFORS'!C30</f>
        <v>ISAAC PERAL 75, PORT D'ANDRATX, 07157</v>
      </c>
      <c r="C45" s="505" t="str">
        <f aca="false">'9.ENLLUME i SEMÀFORS'!B30</f>
        <v>GZZ0188308002</v>
      </c>
      <c r="D45" s="505" t="n">
        <f aca="false">'9.ENLLUME i SEMÀFORS'!D30</f>
        <v>5715</v>
      </c>
      <c r="E45" s="505" t="str">
        <f aca="false">'9.ENLLUME i SEMÀFORS'!F30</f>
        <v>rellotge astronòmic</v>
      </c>
      <c r="F45" s="505" t="str">
        <f aca="false">'9.ENLLUME i SEMÀFORS'!E30</f>
        <v>no</v>
      </c>
      <c r="G45" s="506"/>
      <c r="H45" s="505" t="n">
        <f aca="false">'9.ENLLUME i SEMÀFORS'!G30</f>
        <v>4714</v>
      </c>
      <c r="I45" s="505" t="n">
        <f aca="false">'9.ENLLUME i SEMÀFORS'!I30</f>
        <v>3928</v>
      </c>
      <c r="J45" s="505" t="n">
        <f aca="false">'9.ENLLUME i SEMÀFORS'!K30</f>
        <v>2708</v>
      </c>
      <c r="K45" s="507" t="e">
        <f aca="false">H45/G45</f>
        <v>#DIV/0!</v>
      </c>
      <c r="L45" s="507" t="e">
        <f aca="false">I45/G45</f>
        <v>#DIV/0!</v>
      </c>
      <c r="M45" s="507" t="e">
        <f aca="false">J45/G45</f>
        <v>#DIV/0!</v>
      </c>
      <c r="N45" s="497" t="n">
        <f aca="false">(J45-H45)/H45</f>
        <v>-0.425540941875265</v>
      </c>
      <c r="P45" s="503"/>
      <c r="Q45" s="500"/>
    </row>
    <row r="46" customFormat="false" ht="25.5" hidden="false" customHeight="false" outlineLevel="0" collapsed="false">
      <c r="A46" s="501"/>
      <c r="B46" s="504" t="str">
        <f aca="false">'9.ENLLUME i SEMÀFORS'!C31</f>
        <v>CN SANT CARLES 29, AP JTO.ET 4917, PORT D'ANDRATX,</v>
      </c>
      <c r="C46" s="505" t="str">
        <f aca="false">'9.ENLLUME i SEMÀFORS'!B31</f>
        <v>GZZ0570213001</v>
      </c>
      <c r="D46" s="505" t="n">
        <f aca="false">'9.ENLLUME i SEMÀFORS'!D31</f>
        <v>13200</v>
      </c>
      <c r="E46" s="505" t="str">
        <f aca="false">'9.ENLLUME i SEMÀFORS'!F31</f>
        <v>rellotge astronòmic</v>
      </c>
      <c r="F46" s="505" t="str">
        <f aca="false">'9.ENLLUME i SEMÀFORS'!E31</f>
        <v>no</v>
      </c>
      <c r="G46" s="506"/>
      <c r="H46" s="505" t="n">
        <f aca="false">'9.ENLLUME i SEMÀFORS'!G31</f>
        <v>26874</v>
      </c>
      <c r="I46" s="505" t="n">
        <f aca="false">'9.ENLLUME i SEMÀFORS'!I31</f>
        <v>25225</v>
      </c>
      <c r="J46" s="505" t="n">
        <f aca="false">'9.ENLLUME i SEMÀFORS'!K31</f>
        <v>24598</v>
      </c>
      <c r="K46" s="507" t="e">
        <f aca="false">H46/G46</f>
        <v>#DIV/0!</v>
      </c>
      <c r="L46" s="507" t="e">
        <f aca="false">I46/G46</f>
        <v>#DIV/0!</v>
      </c>
      <c r="M46" s="507" t="e">
        <f aca="false">J46/G46</f>
        <v>#DIV/0!</v>
      </c>
      <c r="N46" s="497" t="n">
        <f aca="false">(J46-H46)/H46</f>
        <v>-0.0846915234055221</v>
      </c>
      <c r="P46" s="503"/>
      <c r="Q46" s="500"/>
    </row>
    <row r="47" customFormat="false" ht="25.5" hidden="false" customHeight="false" outlineLevel="0" collapsed="false">
      <c r="A47" s="501"/>
      <c r="B47" s="504" t="str">
        <f aca="false">'9.ENLLUME i SEMÀFORS'!C32</f>
        <v>MATEO BOSCH, DIQUE INTERI, PORT D'ANDRATX, 07157</v>
      </c>
      <c r="C47" s="505" t="str">
        <f aca="false">'9.ENLLUME i SEMÀFORS'!B32</f>
        <v>GZZ0188473001</v>
      </c>
      <c r="D47" s="505" t="n">
        <f aca="false">'9.ENLLUME i SEMÀFORS'!D32</f>
        <v>13900</v>
      </c>
      <c r="E47" s="505" t="str">
        <f aca="false">'9.ENLLUME i SEMÀFORS'!F32</f>
        <v>rellotge astronòmic</v>
      </c>
      <c r="F47" s="505" t="str">
        <f aca="false">'9.ENLLUME i SEMÀFORS'!E32</f>
        <v>no</v>
      </c>
      <c r="G47" s="506"/>
      <c r="H47" s="505" t="n">
        <f aca="false">'9.ENLLUME i SEMÀFORS'!G32</f>
        <v>33243</v>
      </c>
      <c r="I47" s="505" t="n">
        <f aca="false">'9.ENLLUME i SEMÀFORS'!I32</f>
        <v>22779</v>
      </c>
      <c r="J47" s="505" t="n">
        <f aca="false">'9.ENLLUME i SEMÀFORS'!K32</f>
        <v>28934</v>
      </c>
      <c r="K47" s="507" t="e">
        <f aca="false">H47/G47</f>
        <v>#DIV/0!</v>
      </c>
      <c r="L47" s="507" t="e">
        <f aca="false">I47/G47</f>
        <v>#DIV/0!</v>
      </c>
      <c r="M47" s="507" t="e">
        <f aca="false">J47/G47</f>
        <v>#DIV/0!</v>
      </c>
      <c r="N47" s="497" t="n">
        <f aca="false">(J47-H47)/H47</f>
        <v>-0.129621273651596</v>
      </c>
      <c r="P47" s="503"/>
      <c r="Q47" s="500"/>
    </row>
    <row r="48" customFormat="false" ht="25.5" hidden="false" customHeight="false" outlineLevel="0" collapsed="false">
      <c r="A48" s="501"/>
      <c r="B48" s="504" t="str">
        <f aca="false">'9.ENLLUME i SEMÀFORS'!C33</f>
        <v>MATEO BOSCH, DIQUE INTERI, PORT D'ANDRATX, 07157</v>
      </c>
      <c r="C48" s="505" t="str">
        <f aca="false">'9.ENLLUME i SEMÀFORS'!B33</f>
        <v>GZZ0188474001</v>
      </c>
      <c r="D48" s="505" t="n">
        <f aca="false">'9.ENLLUME i SEMÀFORS'!D33</f>
        <v>34641</v>
      </c>
      <c r="E48" s="505" t="str">
        <f aca="false">'9.ENLLUME i SEMÀFORS'!F33</f>
        <v>rellotge astronòmic</v>
      </c>
      <c r="F48" s="505" t="str">
        <f aca="false">'9.ENLLUME i SEMÀFORS'!E33</f>
        <v>no</v>
      </c>
      <c r="G48" s="506"/>
      <c r="H48" s="505" t="n">
        <f aca="false">'9.ENLLUME i SEMÀFORS'!G33</f>
        <v>111765</v>
      </c>
      <c r="I48" s="505" t="n">
        <f aca="false">'9.ENLLUME i SEMÀFORS'!I33</f>
        <v>98361</v>
      </c>
      <c r="J48" s="505" t="n">
        <f aca="false">'9.ENLLUME i SEMÀFORS'!K33</f>
        <v>106293</v>
      </c>
      <c r="K48" s="507" t="e">
        <f aca="false">H48/G48</f>
        <v>#DIV/0!</v>
      </c>
      <c r="L48" s="507" t="e">
        <f aca="false">I48/G48</f>
        <v>#DIV/0!</v>
      </c>
      <c r="M48" s="507" t="e">
        <f aca="false">J48/G48</f>
        <v>#DIV/0!</v>
      </c>
      <c r="N48" s="497" t="n">
        <f aca="false">(J48-H48)/H48</f>
        <v>-0.0489598711582338</v>
      </c>
      <c r="P48" s="503"/>
      <c r="Q48" s="500"/>
    </row>
    <row r="49" customFormat="false" ht="25.5" hidden="false" customHeight="false" outlineLevel="0" collapsed="false">
      <c r="A49" s="501"/>
      <c r="B49" s="504" t="str">
        <f aca="false">'9.ENLLUME i SEMÀFORS'!C34</f>
        <v>SALUET, ALDO.PUBLICO, PORT D'ANDRATX, 07157</v>
      </c>
      <c r="C49" s="505" t="str">
        <f aca="false">'9.ENLLUME i SEMÀFORS'!B34</f>
        <v>GZZ0566100001</v>
      </c>
      <c r="D49" s="505" t="n">
        <f aca="false">'9.ENLLUME i SEMÀFORS'!D34</f>
        <v>19800</v>
      </c>
      <c r="E49" s="505" t="str">
        <f aca="false">'9.ENLLUME i SEMÀFORS'!F34</f>
        <v>rellotge astronòmic</v>
      </c>
      <c r="F49" s="505" t="str">
        <f aca="false">'9.ENLLUME i SEMÀFORS'!E34</f>
        <v>no</v>
      </c>
      <c r="G49" s="506"/>
      <c r="H49" s="505" t="n">
        <f aca="false">'9.ENLLUME i SEMÀFORS'!G34</f>
        <v>97449</v>
      </c>
      <c r="I49" s="505" t="n">
        <f aca="false">'9.ENLLUME i SEMÀFORS'!I34</f>
        <v>83161</v>
      </c>
      <c r="J49" s="505" t="n">
        <f aca="false">'9.ENLLUME i SEMÀFORS'!K34</f>
        <v>60470</v>
      </c>
      <c r="K49" s="507" t="e">
        <f aca="false">H49/G49</f>
        <v>#DIV/0!</v>
      </c>
      <c r="L49" s="507" t="e">
        <f aca="false">I49/G49</f>
        <v>#DIV/0!</v>
      </c>
      <c r="M49" s="507" t="e">
        <f aca="false">J49/G49</f>
        <v>#DIV/0!</v>
      </c>
      <c r="N49" s="497" t="n">
        <f aca="false">(J49-H49)/H49</f>
        <v>-0.379470287021929</v>
      </c>
      <c r="P49" s="503"/>
      <c r="Q49" s="500"/>
    </row>
    <row r="50" customFormat="false" ht="25.5" hidden="false" customHeight="false" outlineLevel="0" collapsed="false">
      <c r="A50" s="501"/>
      <c r="B50" s="504" t="str">
        <f aca="false">'9.ENLLUME i SEMÀFORS'!C35</f>
        <v>ALMUDAINA, PORT D'ANDRATX, 07157</v>
      </c>
      <c r="C50" s="505" t="str">
        <f aca="false">'9.ENLLUME i SEMÀFORS'!B35</f>
        <v>GZZ0187223001</v>
      </c>
      <c r="D50" s="505" t="n">
        <f aca="false">'9.ENLLUME i SEMÀFORS'!D35</f>
        <v>4950</v>
      </c>
      <c r="E50" s="505" t="str">
        <f aca="false">'9.ENLLUME i SEMÀFORS'!F35</f>
        <v>rellotge astronòmic</v>
      </c>
      <c r="F50" s="505" t="str">
        <f aca="false">'9.ENLLUME i SEMÀFORS'!E35</f>
        <v>no</v>
      </c>
      <c r="G50" s="506"/>
      <c r="H50" s="505" t="n">
        <f aca="false">'9.ENLLUME i SEMÀFORS'!G35</f>
        <v>54492</v>
      </c>
      <c r="I50" s="505" t="n">
        <f aca="false">'9.ENLLUME i SEMÀFORS'!I35</f>
        <v>49322</v>
      </c>
      <c r="J50" s="505" t="n">
        <f aca="false">'9.ENLLUME i SEMÀFORS'!K35</f>
        <v>57352</v>
      </c>
      <c r="K50" s="507" t="e">
        <f aca="false">H50/G50</f>
        <v>#DIV/0!</v>
      </c>
      <c r="L50" s="507" t="e">
        <f aca="false">I50/G50</f>
        <v>#DIV/0!</v>
      </c>
      <c r="M50" s="507" t="e">
        <f aca="false">J50/G50</f>
        <v>#DIV/0!</v>
      </c>
      <c r="N50" s="497" t="n">
        <f aca="false">(J50-H50)/H50</f>
        <v>0.0524847684063716</v>
      </c>
      <c r="P50" s="503"/>
      <c r="Q50" s="500"/>
    </row>
    <row r="51" customFormat="false" ht="25.5" hidden="false" customHeight="false" outlineLevel="0" collapsed="false">
      <c r="A51" s="501"/>
      <c r="B51" s="504" t="str">
        <f aca="false">'9.ENLLUME i SEMÀFORS'!C36</f>
        <v>AV GABRIEL ROCA, PORT D'ANDRATX, 07157</v>
      </c>
      <c r="C51" s="505" t="str">
        <f aca="false">'9.ENLLUME i SEMÀFORS'!B36</f>
        <v>GZZ0188102001</v>
      </c>
      <c r="D51" s="505" t="n">
        <f aca="false">'9.ENLLUME i SEMÀFORS'!D36</f>
        <v>3300</v>
      </c>
      <c r="E51" s="505" t="str">
        <f aca="false">'9.ENLLUME i SEMÀFORS'!F36</f>
        <v>rellotge astronòmic</v>
      </c>
      <c r="F51" s="505" t="str">
        <f aca="false">'9.ENLLUME i SEMÀFORS'!E36</f>
        <v>no</v>
      </c>
      <c r="G51" s="506"/>
      <c r="H51" s="505" t="n">
        <f aca="false">'9.ENLLUME i SEMÀFORS'!G36</f>
        <v>26035</v>
      </c>
      <c r="I51" s="505" t="n">
        <f aca="false">'9.ENLLUME i SEMÀFORS'!I36</f>
        <v>28806</v>
      </c>
      <c r="J51" s="505" t="n">
        <f aca="false">'9.ENLLUME i SEMÀFORS'!K36</f>
        <v>32467</v>
      </c>
      <c r="K51" s="507" t="e">
        <f aca="false">H51/G51</f>
        <v>#DIV/0!</v>
      </c>
      <c r="L51" s="507" t="e">
        <f aca="false">I51/G51</f>
        <v>#DIV/0!</v>
      </c>
      <c r="M51" s="507" t="e">
        <f aca="false">J51/G51</f>
        <v>#DIV/0!</v>
      </c>
      <c r="N51" s="497" t="n">
        <f aca="false">(J51-H51)/H51</f>
        <v>0.247052045323603</v>
      </c>
      <c r="P51" s="503"/>
      <c r="Q51" s="500"/>
    </row>
    <row r="52" customFormat="false" ht="25.5" hidden="false" customHeight="false" outlineLevel="0" collapsed="false">
      <c r="A52" s="501"/>
      <c r="B52" s="504" t="str">
        <f aca="false">'9.ENLLUME i SEMÀFORS'!C37</f>
        <v>MUSSOLA, AP ESQ. TONYINA, PORT D'ANDRATX, 07157</v>
      </c>
      <c r="C52" s="505" t="str">
        <f aca="false">'9.ENLLUME i SEMÀFORS'!B37</f>
        <v>GZZ0584878001</v>
      </c>
      <c r="D52" s="505" t="n">
        <f aca="false">'9.ENLLUME i SEMÀFORS'!D37</f>
        <v>6928</v>
      </c>
      <c r="E52" s="505" t="str">
        <f aca="false">'9.ENLLUME i SEMÀFORS'!F37</f>
        <v>rellotge astronòmic</v>
      </c>
      <c r="F52" s="505" t="str">
        <f aca="false">'9.ENLLUME i SEMÀFORS'!E37</f>
        <v>no</v>
      </c>
      <c r="G52" s="506"/>
      <c r="H52" s="505" t="n">
        <f aca="false">'9.ENLLUME i SEMÀFORS'!G37</f>
        <v>9347</v>
      </c>
      <c r="I52" s="505" t="n">
        <f aca="false">'9.ENLLUME i SEMÀFORS'!I37</f>
        <v>14370</v>
      </c>
      <c r="J52" s="505" t="n">
        <f aca="false">'9.ENLLUME i SEMÀFORS'!K37</f>
        <v>13311</v>
      </c>
      <c r="K52" s="507" t="e">
        <f aca="false">H52/G52</f>
        <v>#DIV/0!</v>
      </c>
      <c r="L52" s="507" t="e">
        <f aca="false">I52/G52</f>
        <v>#DIV/0!</v>
      </c>
      <c r="M52" s="507" t="e">
        <f aca="false">J52/G52</f>
        <v>#DIV/0!</v>
      </c>
      <c r="N52" s="497" t="n">
        <f aca="false">(J52-H52)/H52</f>
        <v>0.424093291965336</v>
      </c>
      <c r="P52" s="503"/>
      <c r="Q52" s="500"/>
    </row>
    <row r="53" customFormat="false" ht="12.75" hidden="false" customHeight="false" outlineLevel="0" collapsed="false">
      <c r="A53" s="501"/>
      <c r="B53" s="504" t="str">
        <f aca="false">'9.ENLLUME i SEMÀFORS'!C38</f>
        <v>WEYLER, S'ARRACO, 07159</v>
      </c>
      <c r="C53" s="505" t="str">
        <f aca="false">'9.ENLLUME i SEMÀFORS'!B38</f>
        <v>GZZ0189193001</v>
      </c>
      <c r="D53" s="505" t="n">
        <f aca="false">'9.ENLLUME i SEMÀFORS'!D38</f>
        <v>4950</v>
      </c>
      <c r="E53" s="505" t="str">
        <f aca="false">'9.ENLLUME i SEMÀFORS'!F38</f>
        <v>rellotge astronòmic</v>
      </c>
      <c r="F53" s="505" t="str">
        <f aca="false">'9.ENLLUME i SEMÀFORS'!E38</f>
        <v>no</v>
      </c>
      <c r="G53" s="506"/>
      <c r="H53" s="505" t="n">
        <f aca="false">'9.ENLLUME i SEMÀFORS'!G38</f>
        <v>10993</v>
      </c>
      <c r="I53" s="505" t="n">
        <f aca="false">'9.ENLLUME i SEMÀFORS'!I38</f>
        <v>28290</v>
      </c>
      <c r="J53" s="505" t="n">
        <f aca="false">'9.ENLLUME i SEMÀFORS'!K38</f>
        <v>32085</v>
      </c>
      <c r="K53" s="507" t="e">
        <f aca="false">H53/G53</f>
        <v>#DIV/0!</v>
      </c>
      <c r="L53" s="507" t="e">
        <f aca="false">I53/G53</f>
        <v>#DIV/0!</v>
      </c>
      <c r="M53" s="507" t="e">
        <f aca="false">J53/G53</f>
        <v>#DIV/0!</v>
      </c>
      <c r="N53" s="497" t="n">
        <f aca="false">(J53-H53)/H53</f>
        <v>1.91867552078595</v>
      </c>
      <c r="P53" s="503"/>
      <c r="Q53" s="500"/>
    </row>
    <row r="54" customFormat="false" ht="25.5" hidden="false" customHeight="false" outlineLevel="0" collapsed="false">
      <c r="A54" s="501"/>
      <c r="B54" s="504" t="str">
        <f aca="false">'9.ENLLUME i SEMÀFORS'!C39</f>
        <v>CAMI DE SON TIO, E.T.CAN VELL, S'ARRACO, 07159</v>
      </c>
      <c r="C54" s="505" t="str">
        <f aca="false">'9.ENLLUME i SEMÀFORS'!B39</f>
        <v>GZZ0191895001</v>
      </c>
      <c r="D54" s="505" t="n">
        <f aca="false">'9.ENLLUME i SEMÀFORS'!D39</f>
        <v>2200</v>
      </c>
      <c r="E54" s="505" t="str">
        <f aca="false">'9.ENLLUME i SEMÀFORS'!F39</f>
        <v>rellotge astronòmic</v>
      </c>
      <c r="F54" s="505" t="str">
        <f aca="false">'9.ENLLUME i SEMÀFORS'!E39</f>
        <v>no</v>
      </c>
      <c r="G54" s="506"/>
      <c r="H54" s="505" t="n">
        <f aca="false">'9.ENLLUME i SEMÀFORS'!G39</f>
        <v>1084</v>
      </c>
      <c r="I54" s="505" t="n">
        <f aca="false">'9.ENLLUME i SEMÀFORS'!I39</f>
        <v>1060</v>
      </c>
      <c r="J54" s="505" t="n">
        <f aca="false">'9.ENLLUME i SEMÀFORS'!K39</f>
        <v>1067</v>
      </c>
      <c r="K54" s="507" t="e">
        <f aca="false">H54/G54</f>
        <v>#DIV/0!</v>
      </c>
      <c r="L54" s="507" t="e">
        <f aca="false">I54/G54</f>
        <v>#DIV/0!</v>
      </c>
      <c r="M54" s="507" t="e">
        <f aca="false">J54/G54</f>
        <v>#DIV/0!</v>
      </c>
      <c r="N54" s="497" t="n">
        <f aca="false">(J54-H54)/H54</f>
        <v>-0.0156826568265683</v>
      </c>
      <c r="P54" s="503"/>
      <c r="Q54" s="500"/>
    </row>
    <row r="55" customFormat="false" ht="25.5" hidden="false" customHeight="false" outlineLevel="0" collapsed="false">
      <c r="A55" s="501"/>
      <c r="B55" s="504" t="str">
        <f aca="false">'9.ENLLUME i SEMÀFORS'!C40</f>
        <v>SA TENASSA 1, S'ARRACO, 07159</v>
      </c>
      <c r="C55" s="505" t="str">
        <f aca="false">'9.ENLLUME i SEMÀFORS'!B40</f>
        <v>GZZ0189693001</v>
      </c>
      <c r="D55" s="505" t="n">
        <f aca="false">'9.ENLLUME i SEMÀFORS'!D40</f>
        <v>1905</v>
      </c>
      <c r="E55" s="505" t="str">
        <f aca="false">'9.ENLLUME i SEMÀFORS'!F40</f>
        <v>rellotge astronòmic</v>
      </c>
      <c r="F55" s="505" t="str">
        <f aca="false">'9.ENLLUME i SEMÀFORS'!E40</f>
        <v>no</v>
      </c>
      <c r="G55" s="506"/>
      <c r="H55" s="505" t="n">
        <f aca="false">'9.ENLLUME i SEMÀFORS'!G40</f>
        <v>15618</v>
      </c>
      <c r="I55" s="505" t="n">
        <f aca="false">'9.ENLLUME i SEMÀFORS'!I40</f>
        <v>16052</v>
      </c>
      <c r="J55" s="505" t="n">
        <f aca="false">'9.ENLLUME i SEMÀFORS'!K40</f>
        <v>17217</v>
      </c>
      <c r="K55" s="507" t="e">
        <f aca="false">H55/G55</f>
        <v>#DIV/0!</v>
      </c>
      <c r="L55" s="507" t="e">
        <f aca="false">I55/G55</f>
        <v>#DIV/0!</v>
      </c>
      <c r="M55" s="507" t="e">
        <f aca="false">J55/G55</f>
        <v>#DIV/0!</v>
      </c>
      <c r="N55" s="497" t="n">
        <f aca="false">(J55-H55)/H55</f>
        <v>0.10238186707645</v>
      </c>
      <c r="P55" s="503"/>
      <c r="Q55" s="500"/>
    </row>
    <row r="56" customFormat="false" ht="12.75" hidden="false" customHeight="false" outlineLevel="0" collapsed="false">
      <c r="A56" s="501"/>
      <c r="B56" s="504" t="str">
        <f aca="false">'9.ENLLUME i SEMÀFORS'!C41</f>
        <v>ATAJO, DEL, S'ARRACO, 07159</v>
      </c>
      <c r="C56" s="505" t="str">
        <f aca="false">'9.ENLLUME i SEMÀFORS'!B41</f>
        <v>GZZ0187394001</v>
      </c>
      <c r="D56" s="505" t="n">
        <f aca="false">'9.ENLLUME i SEMÀFORS'!D41</f>
        <v>3810</v>
      </c>
      <c r="E56" s="505" t="str">
        <f aca="false">'9.ENLLUME i SEMÀFORS'!F41</f>
        <v>rellotge astronòmic</v>
      </c>
      <c r="F56" s="505" t="str">
        <f aca="false">'9.ENLLUME i SEMÀFORS'!E41</f>
        <v>no</v>
      </c>
      <c r="G56" s="506"/>
      <c r="H56" s="505" t="n">
        <f aca="false">'9.ENLLUME i SEMÀFORS'!G41</f>
        <v>13575</v>
      </c>
      <c r="I56" s="505" t="n">
        <f aca="false">'9.ENLLUME i SEMÀFORS'!I41</f>
        <v>20067</v>
      </c>
      <c r="J56" s="505" t="n">
        <f aca="false">'9.ENLLUME i SEMÀFORS'!K41</f>
        <v>26790</v>
      </c>
      <c r="K56" s="507" t="e">
        <f aca="false">H56/G56</f>
        <v>#DIV/0!</v>
      </c>
      <c r="L56" s="507" t="e">
        <f aca="false">I56/G56</f>
        <v>#DIV/0!</v>
      </c>
      <c r="M56" s="507" t="e">
        <f aca="false">J56/G56</f>
        <v>#DIV/0!</v>
      </c>
      <c r="N56" s="497" t="n">
        <f aca="false">(J56-H56)/H56</f>
        <v>0.973480662983425</v>
      </c>
      <c r="P56" s="503"/>
      <c r="Q56" s="500"/>
    </row>
    <row r="57" customFormat="false" ht="12.75" hidden="false" customHeight="false" outlineLevel="0" collapsed="false">
      <c r="A57" s="501"/>
      <c r="B57" s="504" t="str">
        <f aca="false">'9.ENLLUME i SEMÀFORS'!C42</f>
        <v>WEYLER, S'ARRACO, 07159</v>
      </c>
      <c r="C57" s="505" t="str">
        <f aca="false">'9.ENLLUME i SEMÀFORS'!B42</f>
        <v>GZZ0189193001</v>
      </c>
      <c r="D57" s="505" t="n">
        <f aca="false">'9.ENLLUME i SEMÀFORS'!D42</f>
        <v>4950</v>
      </c>
      <c r="E57" s="505" t="str">
        <f aca="false">'9.ENLLUME i SEMÀFORS'!F42</f>
        <v>rellotge astronòmic</v>
      </c>
      <c r="F57" s="505" t="str">
        <f aca="false">'9.ENLLUME i SEMÀFORS'!E42</f>
        <v>no</v>
      </c>
      <c r="G57" s="506"/>
      <c r="H57" s="505" t="n">
        <f aca="false">'9.ENLLUME i SEMÀFORS'!G42</f>
        <v>10993</v>
      </c>
      <c r="I57" s="505" t="n">
        <f aca="false">'9.ENLLUME i SEMÀFORS'!I42</f>
        <v>28290</v>
      </c>
      <c r="J57" s="505" t="n">
        <f aca="false">'9.ENLLUME i SEMÀFORS'!K42</f>
        <v>32085</v>
      </c>
      <c r="K57" s="507" t="e">
        <f aca="false">H57/G57</f>
        <v>#DIV/0!</v>
      </c>
      <c r="L57" s="507" t="e">
        <f aca="false">I57/G57</f>
        <v>#DIV/0!</v>
      </c>
      <c r="M57" s="507" t="e">
        <f aca="false">J57/G57</f>
        <v>#DIV/0!</v>
      </c>
      <c r="N57" s="497" t="n">
        <f aca="false">(J57-H57)/H57</f>
        <v>1.91867552078595</v>
      </c>
      <c r="P57" s="503"/>
      <c r="Q57" s="500"/>
    </row>
    <row r="58" customFormat="false" ht="12.75" hidden="false" customHeight="false" outlineLevel="0" collapsed="false">
      <c r="A58" s="501"/>
      <c r="B58" s="504" t="str">
        <f aca="false">'9.ENLLUME i SEMÀFORS'!C43</f>
        <v>XALOC, SANT ELM, 07159</v>
      </c>
      <c r="C58" s="505" t="str">
        <f aca="false">'9.ENLLUME i SEMÀFORS'!B43</f>
        <v>GZZ0190524001</v>
      </c>
      <c r="D58" s="505" t="n">
        <f aca="false">'9.ENLLUME i SEMÀFORS'!D43</f>
        <v>2540</v>
      </c>
      <c r="E58" s="505" t="str">
        <f aca="false">'9.ENLLUME i SEMÀFORS'!F43</f>
        <v>rellotge astronòmic</v>
      </c>
      <c r="F58" s="505" t="str">
        <f aca="false">'9.ENLLUME i SEMÀFORS'!E43</f>
        <v>no</v>
      </c>
      <c r="G58" s="506"/>
      <c r="H58" s="505" t="n">
        <f aca="false">'9.ENLLUME i SEMÀFORS'!G43</f>
        <v>25318</v>
      </c>
      <c r="I58" s="505" t="n">
        <f aca="false">'9.ENLLUME i SEMÀFORS'!I43</f>
        <v>23331</v>
      </c>
      <c r="J58" s="505" t="n">
        <f aca="false">'9.ENLLUME i SEMÀFORS'!K43</f>
        <v>24719</v>
      </c>
      <c r="K58" s="507" t="e">
        <f aca="false">H58/G58</f>
        <v>#DIV/0!</v>
      </c>
      <c r="L58" s="507" t="e">
        <f aca="false">I58/G58</f>
        <v>#DIV/0!</v>
      </c>
      <c r="M58" s="507" t="e">
        <f aca="false">J58/G58</f>
        <v>#DIV/0!</v>
      </c>
      <c r="N58" s="497" t="n">
        <f aca="false">(J58-H58)/H58</f>
        <v>-0.0236590567975353</v>
      </c>
      <c r="P58" s="503"/>
      <c r="Q58" s="500"/>
    </row>
    <row r="59" customFormat="false" ht="25.5" hidden="false" customHeight="false" outlineLevel="0" collapsed="false">
      <c r="A59" s="501"/>
      <c r="B59" s="504" t="str">
        <f aca="false">'9.ENLLUME i SEMÀFORS'!C44</f>
        <v>JAUME I, JUNTO ET PANTALEU, SANT ELM, 07159</v>
      </c>
      <c r="C59" s="505" t="str">
        <f aca="false">'9.ENLLUME i SEMÀFORS'!B44</f>
        <v>GZZ0560048001</v>
      </c>
      <c r="D59" s="505" t="n">
        <f aca="false">'9.ENLLUME i SEMÀFORS'!D44</f>
        <v>34641</v>
      </c>
      <c r="E59" s="505" t="str">
        <f aca="false">'9.ENLLUME i SEMÀFORS'!F44</f>
        <v>rellotge astronòmic</v>
      </c>
      <c r="F59" s="505" t="str">
        <f aca="false">'9.ENLLUME i SEMÀFORS'!E44</f>
        <v>no</v>
      </c>
      <c r="G59" s="506"/>
      <c r="H59" s="505" t="n">
        <f aca="false">'9.ENLLUME i SEMÀFORS'!G44</f>
        <v>49737</v>
      </c>
      <c r="I59" s="505" t="n">
        <f aca="false">'9.ENLLUME i SEMÀFORS'!I44</f>
        <v>35857</v>
      </c>
      <c r="J59" s="505" t="n">
        <f aca="false">'9.ENLLUME i SEMÀFORS'!K44</f>
        <v>38316</v>
      </c>
      <c r="K59" s="507" t="e">
        <f aca="false">H59/G59</f>
        <v>#DIV/0!</v>
      </c>
      <c r="L59" s="507" t="e">
        <f aca="false">I59/G59</f>
        <v>#DIV/0!</v>
      </c>
      <c r="M59" s="507" t="e">
        <f aca="false">J59/G59</f>
        <v>#DIV/0!</v>
      </c>
      <c r="N59" s="497" t="n">
        <f aca="false">(J59-H59)/H59</f>
        <v>-0.229627842451294</v>
      </c>
      <c r="P59" s="503"/>
      <c r="Q59" s="500"/>
    </row>
    <row r="60" customFormat="false" ht="12.75" hidden="false" customHeight="false" outlineLevel="0" collapsed="false">
      <c r="A60" s="501"/>
      <c r="B60" s="504" t="str">
        <f aca="false">'9.ENLLUME i SEMÀFORS'!C45</f>
        <v>MALEIA, SANT ELM, 07159</v>
      </c>
      <c r="C60" s="505" t="str">
        <f aca="false">'9.ENLLUME i SEMÀFORS'!B45</f>
        <v>GZZ0190463001</v>
      </c>
      <c r="D60" s="505" t="n">
        <f aca="false">'9.ENLLUME i SEMÀFORS'!D45</f>
        <v>4400</v>
      </c>
      <c r="E60" s="505" t="str">
        <f aca="false">'9.ENLLUME i SEMÀFORS'!F45</f>
        <v>rellotge astronòmic</v>
      </c>
      <c r="F60" s="505" t="str">
        <f aca="false">'9.ENLLUME i SEMÀFORS'!E45</f>
        <v>no</v>
      </c>
      <c r="G60" s="506"/>
      <c r="H60" s="505" t="n">
        <f aca="false">'9.ENLLUME i SEMÀFORS'!G45</f>
        <v>381</v>
      </c>
      <c r="I60" s="505" t="n">
        <f aca="false">'9.ENLLUME i SEMÀFORS'!I45</f>
        <v>33633</v>
      </c>
      <c r="J60" s="505" t="n">
        <f aca="false">'9.ENLLUME i SEMÀFORS'!K45</f>
        <v>38584</v>
      </c>
      <c r="K60" s="507" t="e">
        <f aca="false">H60/G60</f>
        <v>#DIV/0!</v>
      </c>
      <c r="L60" s="507" t="e">
        <f aca="false">I60/G60</f>
        <v>#DIV/0!</v>
      </c>
      <c r="M60" s="507" t="e">
        <f aca="false">J60/G60</f>
        <v>#DIV/0!</v>
      </c>
      <c r="N60" s="497" t="n">
        <f aca="false">(J60-H60)/H60</f>
        <v>100.270341207349</v>
      </c>
      <c r="P60" s="503"/>
      <c r="Q60" s="500"/>
    </row>
    <row r="61" customFormat="false" ht="38.25" hidden="false" customHeight="false" outlineLevel="0" collapsed="false">
      <c r="A61" s="501"/>
      <c r="B61" s="504" t="str">
        <f aca="false">'9.ENLLUME i SEMÀFORS'!C46</f>
        <v>CALA ES CONILLS 7, ALUMBRADO PUBLICO, SANT ELM, 07</v>
      </c>
      <c r="C61" s="505" t="str">
        <f aca="false">'9.ENLLUME i SEMÀFORS'!B46</f>
        <v>GZZ0190568001</v>
      </c>
      <c r="D61" s="505" t="n">
        <f aca="false">'9.ENLLUME i SEMÀFORS'!D46</f>
        <v>4400</v>
      </c>
      <c r="E61" s="505" t="str">
        <f aca="false">'9.ENLLUME i SEMÀFORS'!F46</f>
        <v>rellotge astronòmic</v>
      </c>
      <c r="F61" s="505" t="str">
        <f aca="false">'9.ENLLUME i SEMÀFORS'!E46</f>
        <v>no</v>
      </c>
      <c r="G61" s="506"/>
      <c r="H61" s="505" t="n">
        <f aca="false">'9.ENLLUME i SEMÀFORS'!G46</f>
        <v>16326</v>
      </c>
      <c r="I61" s="505" t="n">
        <f aca="false">'9.ENLLUME i SEMÀFORS'!I46</f>
        <v>30697</v>
      </c>
      <c r="J61" s="505" t="n">
        <f aca="false">'9.ENLLUME i SEMÀFORS'!K46</f>
        <v>28005</v>
      </c>
      <c r="K61" s="507" t="e">
        <f aca="false">H61/G61</f>
        <v>#DIV/0!</v>
      </c>
      <c r="L61" s="507" t="e">
        <f aca="false">I61/G61</f>
        <v>#DIV/0!</v>
      </c>
      <c r="M61" s="507" t="e">
        <f aca="false">J61/G61</f>
        <v>#DIV/0!</v>
      </c>
      <c r="N61" s="497" t="n">
        <f aca="false">(J61-H61)/H61</f>
        <v>0.715361999264976</v>
      </c>
      <c r="P61" s="503"/>
      <c r="Q61" s="503"/>
    </row>
    <row r="62" customFormat="false" ht="25.5" hidden="false" customHeight="false" outlineLevel="0" collapsed="false">
      <c r="A62" s="501"/>
      <c r="B62" s="504" t="str">
        <f aca="false">'9.ENLLUME i SEMÀFORS'!C47</f>
        <v>TRAPA, ALDO. PCO., SANT ELM, 07159</v>
      </c>
      <c r="C62" s="505" t="str">
        <f aca="false">'9.ENLLUME i SEMÀFORS'!B47</f>
        <v>GZZ0549545001</v>
      </c>
      <c r="D62" s="505" t="n">
        <f aca="false">'9.ENLLUME i SEMÀFORS'!D47</f>
        <v>3300</v>
      </c>
      <c r="E62" s="505" t="str">
        <f aca="false">'9.ENLLUME i SEMÀFORS'!F47</f>
        <v>rellotge astronòmic</v>
      </c>
      <c r="F62" s="505" t="str">
        <f aca="false">'9.ENLLUME i SEMÀFORS'!E47</f>
        <v>no</v>
      </c>
      <c r="G62" s="506"/>
      <c r="H62" s="505" t="n">
        <f aca="false">'9.ENLLUME i SEMÀFORS'!G47</f>
        <v>25560</v>
      </c>
      <c r="I62" s="505" t="n">
        <f aca="false">'9.ENLLUME i SEMÀFORS'!I47</f>
        <v>18722</v>
      </c>
      <c r="J62" s="505" t="n">
        <f aca="false">'9.ENLLUME i SEMÀFORS'!K47</f>
        <v>19914</v>
      </c>
      <c r="K62" s="507" t="e">
        <f aca="false">H62/G62</f>
        <v>#DIV/0!</v>
      </c>
      <c r="L62" s="507" t="e">
        <f aca="false">I62/G62</f>
        <v>#DIV/0!</v>
      </c>
      <c r="M62" s="507" t="e">
        <f aca="false">J62/G62</f>
        <v>#DIV/0!</v>
      </c>
      <c r="N62" s="497" t="n">
        <f aca="false">(J62-H62)/H62</f>
        <v>-0.220892018779343</v>
      </c>
      <c r="P62" s="503"/>
      <c r="Q62" s="503"/>
    </row>
    <row r="63" customFormat="false" ht="25.5" hidden="false" customHeight="false" outlineLevel="0" collapsed="false">
      <c r="A63" s="501"/>
      <c r="B63" s="504" t="str">
        <f aca="false">'9.ENLLUME i SEMÀFORS'!C48</f>
        <v>LARACHE 26, POZO SON JOF, ANDRATX, 07150</v>
      </c>
      <c r="C63" s="505" t="str">
        <f aca="false">'9.ENLLUME i SEMÀFORS'!B48</f>
        <v>GZZ0188407001</v>
      </c>
      <c r="D63" s="505" t="n">
        <f aca="false">'9.ENLLUME i SEMÀFORS'!D48</f>
        <v>13200</v>
      </c>
      <c r="E63" s="505" t="str">
        <f aca="false">'9.ENLLUME i SEMÀFORS'!F48</f>
        <v>rellotge astronòmic</v>
      </c>
      <c r="F63" s="505" t="str">
        <f aca="false">'9.ENLLUME i SEMÀFORS'!E48</f>
        <v>no</v>
      </c>
      <c r="G63" s="506"/>
      <c r="H63" s="505" t="n">
        <f aca="false">'9.ENLLUME i SEMÀFORS'!G48</f>
        <v>25582</v>
      </c>
      <c r="I63" s="505" t="n">
        <f aca="false">'9.ENLLUME i SEMÀFORS'!I48</f>
        <v>31145</v>
      </c>
      <c r="J63" s="505" t="n">
        <f aca="false">'9.ENLLUME i SEMÀFORS'!K48</f>
        <v>33907</v>
      </c>
      <c r="K63" s="507" t="e">
        <f aca="false">H63/G63</f>
        <v>#DIV/0!</v>
      </c>
      <c r="L63" s="507" t="e">
        <f aca="false">I63/G63</f>
        <v>#DIV/0!</v>
      </c>
      <c r="M63" s="507" t="e">
        <f aca="false">J63/G63</f>
        <v>#DIV/0!</v>
      </c>
      <c r="N63" s="497" t="n">
        <f aca="false">(J63-H63)/H63</f>
        <v>0.325424126338832</v>
      </c>
      <c r="P63" s="503"/>
      <c r="Q63" s="503"/>
    </row>
    <row r="64" customFormat="false" ht="25.5" hidden="false" customHeight="false" outlineLevel="0" collapsed="false">
      <c r="A64" s="501"/>
      <c r="B64" s="504" t="str">
        <f aca="false">'9.ENLLUME i SEMÀFORS'!C49</f>
        <v>ISAAC PERAL 75, PORT D'ANDRATX, 07157</v>
      </c>
      <c r="C64" s="505" t="str">
        <f aca="false">'9.ENLLUME i SEMÀFORS'!B49</f>
        <v>GZZ0188308002</v>
      </c>
      <c r="D64" s="505" t="n">
        <f aca="false">'9.ENLLUME i SEMÀFORS'!D49</f>
        <v>5715</v>
      </c>
      <c r="E64" s="505" t="str">
        <f aca="false">'9.ENLLUME i SEMÀFORS'!F49</f>
        <v>rellotge astronòmic</v>
      </c>
      <c r="F64" s="505" t="str">
        <f aca="false">'9.ENLLUME i SEMÀFORS'!E49</f>
        <v>no</v>
      </c>
      <c r="G64" s="506"/>
      <c r="H64" s="505" t="n">
        <f aca="false">'9.ENLLUME i SEMÀFORS'!G49</f>
        <v>4714</v>
      </c>
      <c r="I64" s="505" t="n">
        <f aca="false">'9.ENLLUME i SEMÀFORS'!I49</f>
        <v>3928</v>
      </c>
      <c r="J64" s="505" t="n">
        <f aca="false">'9.ENLLUME i SEMÀFORS'!K49</f>
        <v>2708</v>
      </c>
      <c r="K64" s="507" t="e">
        <f aca="false">H64/G64</f>
        <v>#DIV/0!</v>
      </c>
      <c r="L64" s="507" t="e">
        <f aca="false">I64/G64</f>
        <v>#DIV/0!</v>
      </c>
      <c r="M64" s="507" t="e">
        <f aca="false">J64/G64</f>
        <v>#DIV/0!</v>
      </c>
      <c r="N64" s="497" t="n">
        <f aca="false">(J64-H64)/H64</f>
        <v>-0.425540941875265</v>
      </c>
      <c r="P64" s="503"/>
      <c r="Q64" s="503"/>
    </row>
    <row r="65" customFormat="false" ht="12.75" hidden="false" customHeight="false" outlineLevel="0" collapsed="false">
      <c r="A65" s="501"/>
      <c r="B65" s="504" t="n">
        <f aca="false">'9.ENLLUME i SEMÀFORS'!C50</f>
        <v>0</v>
      </c>
      <c r="C65" s="505" t="n">
        <f aca="false">'9.ENLLUME i SEMÀFORS'!B50</f>
        <v>0</v>
      </c>
      <c r="D65" s="505" t="n">
        <f aca="false">'9.ENLLUME i SEMÀFORS'!D50</f>
        <v>0</v>
      </c>
      <c r="E65" s="505" t="n">
        <f aca="false">'9.ENLLUME i SEMÀFORS'!E50</f>
        <v>0</v>
      </c>
      <c r="F65" s="505" t="n">
        <f aca="false">'9.ENLLUME i SEMÀFORS'!E50</f>
        <v>0</v>
      </c>
      <c r="G65" s="505"/>
      <c r="H65" s="505" t="n">
        <f aca="false">'9.ENLLUME i SEMÀFORS'!G50</f>
        <v>0</v>
      </c>
      <c r="I65" s="505" t="n">
        <f aca="false">'9.ENLLUME i SEMÀFORS'!I50</f>
        <v>0</v>
      </c>
      <c r="J65" s="505" t="n">
        <f aca="false">'9.ENLLUME i SEMÀFORS'!K50</f>
        <v>0</v>
      </c>
      <c r="K65" s="507" t="e">
        <f aca="false">H65/G65</f>
        <v>#DIV/0!</v>
      </c>
      <c r="L65" s="507" t="e">
        <f aca="false">I65/G65</f>
        <v>#DIV/0!</v>
      </c>
      <c r="M65" s="507" t="e">
        <f aca="false">J65/G65</f>
        <v>#DIV/0!</v>
      </c>
      <c r="N65" s="497" t="e">
        <f aca="false">(J65-H65)/H65</f>
        <v>#DIV/0!</v>
      </c>
    </row>
    <row r="66" customFormat="false" ht="12.75" hidden="false" customHeight="false" outlineLevel="0" collapsed="false">
      <c r="A66" s="501"/>
      <c r="B66" s="504" t="n">
        <f aca="false">'9.ENLLUME i SEMÀFORS'!C51</f>
        <v>0</v>
      </c>
      <c r="C66" s="505" t="n">
        <f aca="false">'9.ENLLUME i SEMÀFORS'!B51</f>
        <v>0</v>
      </c>
      <c r="D66" s="505" t="n">
        <f aca="false">'9.ENLLUME i SEMÀFORS'!D51</f>
        <v>0</v>
      </c>
      <c r="E66" s="505" t="n">
        <f aca="false">'9.ENLLUME i SEMÀFORS'!E51</f>
        <v>0</v>
      </c>
      <c r="F66" s="505" t="n">
        <f aca="false">'9.ENLLUME i SEMÀFORS'!F51</f>
        <v>0</v>
      </c>
      <c r="G66" s="505"/>
      <c r="H66" s="505" t="n">
        <f aca="false">'9.ENLLUME i SEMÀFORS'!G51</f>
        <v>0</v>
      </c>
      <c r="I66" s="505" t="n">
        <f aca="false">'9.ENLLUME i SEMÀFORS'!I51</f>
        <v>0</v>
      </c>
      <c r="J66" s="505" t="n">
        <f aca="false">'9.ENLLUME i SEMÀFORS'!K51</f>
        <v>0</v>
      </c>
      <c r="K66" s="507" t="e">
        <f aca="false">H66/G66</f>
        <v>#DIV/0!</v>
      </c>
      <c r="L66" s="507" t="e">
        <f aca="false">I66/G66</f>
        <v>#DIV/0!</v>
      </c>
      <c r="M66" s="507" t="e">
        <f aca="false">J66/G66</f>
        <v>#DIV/0!</v>
      </c>
      <c r="N66" s="497" t="e">
        <f aca="false">(J66-H66)/H66</f>
        <v>#DIV/0!</v>
      </c>
    </row>
    <row r="67" customFormat="false" ht="12.75" hidden="false" customHeight="false" outlineLevel="0" collapsed="false">
      <c r="A67" s="501"/>
      <c r="B67" s="504" t="n">
        <f aca="false">'9.ENLLUME i SEMÀFORS'!C52</f>
        <v>0</v>
      </c>
      <c r="C67" s="505" t="n">
        <f aca="false">'9.ENLLUME i SEMÀFORS'!B52</f>
        <v>0</v>
      </c>
      <c r="D67" s="505" t="n">
        <f aca="false">'9.ENLLUME i SEMÀFORS'!D52</f>
        <v>0</v>
      </c>
      <c r="E67" s="505" t="n">
        <f aca="false">'9.ENLLUME i SEMÀFORS'!E52</f>
        <v>0</v>
      </c>
      <c r="F67" s="505" t="n">
        <f aca="false">'9.ENLLUME i SEMÀFORS'!F52</f>
        <v>0</v>
      </c>
      <c r="G67" s="505"/>
      <c r="H67" s="505" t="n">
        <f aca="false">'9.ENLLUME i SEMÀFORS'!G52</f>
        <v>0</v>
      </c>
      <c r="I67" s="505" t="n">
        <f aca="false">'9.ENLLUME i SEMÀFORS'!I52</f>
        <v>0</v>
      </c>
      <c r="J67" s="505" t="n">
        <f aca="false">'9.ENLLUME i SEMÀFORS'!K52</f>
        <v>0</v>
      </c>
      <c r="K67" s="507" t="e">
        <f aca="false">H67/G67</f>
        <v>#DIV/0!</v>
      </c>
      <c r="L67" s="507" t="e">
        <f aca="false">I67/G67</f>
        <v>#DIV/0!</v>
      </c>
      <c r="M67" s="507" t="e">
        <f aca="false">J67/G67</f>
        <v>#DIV/0!</v>
      </c>
      <c r="N67" s="497" t="e">
        <f aca="false">(J67-H67)/H67</f>
        <v>#DIV/0!</v>
      </c>
    </row>
    <row r="68" customFormat="false" ht="12.75" hidden="false" customHeight="false" outlineLevel="0" collapsed="false">
      <c r="A68" s="501"/>
      <c r="B68" s="504" t="n">
        <f aca="false">'9.ENLLUME i SEMÀFORS'!C53</f>
        <v>0</v>
      </c>
      <c r="C68" s="505" t="n">
        <f aca="false">'9.ENLLUME i SEMÀFORS'!B53</f>
        <v>0</v>
      </c>
      <c r="D68" s="505" t="n">
        <f aca="false">'9.ENLLUME i SEMÀFORS'!D53</f>
        <v>0</v>
      </c>
      <c r="E68" s="505" t="n">
        <f aca="false">'9.ENLLUME i SEMÀFORS'!E53</f>
        <v>0</v>
      </c>
      <c r="F68" s="505" t="n">
        <f aca="false">'9.ENLLUME i SEMÀFORS'!F53</f>
        <v>0</v>
      </c>
      <c r="G68" s="505"/>
      <c r="H68" s="505" t="n">
        <f aca="false">'9.ENLLUME i SEMÀFORS'!G53</f>
        <v>0</v>
      </c>
      <c r="I68" s="505" t="n">
        <f aca="false">'9.ENLLUME i SEMÀFORS'!I53</f>
        <v>0</v>
      </c>
      <c r="J68" s="505" t="n">
        <f aca="false">'9.ENLLUME i SEMÀFORS'!K53</f>
        <v>0</v>
      </c>
      <c r="K68" s="507" t="e">
        <f aca="false">H68/G68</f>
        <v>#DIV/0!</v>
      </c>
      <c r="L68" s="507" t="e">
        <f aca="false">I68/G68</f>
        <v>#DIV/0!</v>
      </c>
      <c r="M68" s="507" t="e">
        <f aca="false">J68/G68</f>
        <v>#DIV/0!</v>
      </c>
      <c r="N68" s="497" t="e">
        <f aca="false">(J68-H68)/H68</f>
        <v>#DIV/0!</v>
      </c>
    </row>
    <row r="69" customFormat="false" ht="12.75" hidden="false" customHeight="false" outlineLevel="0" collapsed="false">
      <c r="A69" s="501"/>
      <c r="B69" s="504" t="n">
        <f aca="false">'9.ENLLUME i SEMÀFORS'!C54</f>
        <v>0</v>
      </c>
      <c r="C69" s="505" t="n">
        <f aca="false">'9.ENLLUME i SEMÀFORS'!B54</f>
        <v>0</v>
      </c>
      <c r="D69" s="505" t="n">
        <f aca="false">'9.ENLLUME i SEMÀFORS'!D54</f>
        <v>0</v>
      </c>
      <c r="E69" s="505" t="n">
        <f aca="false">'9.ENLLUME i SEMÀFORS'!E54</f>
        <v>0</v>
      </c>
      <c r="F69" s="505" t="n">
        <f aca="false">'9.ENLLUME i SEMÀFORS'!F54</f>
        <v>0</v>
      </c>
      <c r="G69" s="505"/>
      <c r="H69" s="505" t="n">
        <f aca="false">'9.ENLLUME i SEMÀFORS'!G54</f>
        <v>0</v>
      </c>
      <c r="I69" s="505" t="n">
        <f aca="false">'9.ENLLUME i SEMÀFORS'!I54</f>
        <v>0</v>
      </c>
      <c r="J69" s="505" t="n">
        <f aca="false">'9.ENLLUME i SEMÀFORS'!K54</f>
        <v>0</v>
      </c>
      <c r="K69" s="507" t="e">
        <f aca="false">H69/G69</f>
        <v>#DIV/0!</v>
      </c>
      <c r="L69" s="507" t="e">
        <f aca="false">I69/G69</f>
        <v>#DIV/0!</v>
      </c>
      <c r="M69" s="507" t="e">
        <f aca="false">J69/G69</f>
        <v>#DIV/0!</v>
      </c>
      <c r="N69" s="497" t="e">
        <f aca="false">(J69-H69)/H69</f>
        <v>#DIV/0!</v>
      </c>
    </row>
    <row r="70" customFormat="false" ht="12.75" hidden="false" customHeight="false" outlineLevel="0" collapsed="false">
      <c r="A70" s="501"/>
      <c r="B70" s="504" t="n">
        <f aca="false">'9.ENLLUME i SEMÀFORS'!C55</f>
        <v>0</v>
      </c>
      <c r="C70" s="505" t="n">
        <f aca="false">'9.ENLLUME i SEMÀFORS'!B55</f>
        <v>0</v>
      </c>
      <c r="D70" s="505" t="n">
        <f aca="false">'9.ENLLUME i SEMÀFORS'!D55</f>
        <v>0</v>
      </c>
      <c r="E70" s="505" t="n">
        <f aca="false">'9.ENLLUME i SEMÀFORS'!E55</f>
        <v>0</v>
      </c>
      <c r="F70" s="505" t="n">
        <f aca="false">'9.ENLLUME i SEMÀFORS'!F55</f>
        <v>0</v>
      </c>
      <c r="G70" s="505"/>
      <c r="H70" s="505" t="n">
        <f aca="false">'9.ENLLUME i SEMÀFORS'!G55</f>
        <v>0</v>
      </c>
      <c r="I70" s="505" t="n">
        <f aca="false">'9.ENLLUME i SEMÀFORS'!I55</f>
        <v>0</v>
      </c>
      <c r="J70" s="505" t="n">
        <f aca="false">'9.ENLLUME i SEMÀFORS'!K55</f>
        <v>0</v>
      </c>
      <c r="K70" s="507" t="e">
        <f aca="false">H70/G70</f>
        <v>#DIV/0!</v>
      </c>
      <c r="L70" s="507" t="e">
        <f aca="false">I70/G70</f>
        <v>#DIV/0!</v>
      </c>
      <c r="M70" s="507" t="e">
        <f aca="false">J70/G70</f>
        <v>#DIV/0!</v>
      </c>
      <c r="N70" s="497" t="e">
        <f aca="false">(J70-H70)/H70</f>
        <v>#DIV/0!</v>
      </c>
    </row>
    <row r="71" customFormat="false" ht="12.75" hidden="false" customHeight="false" outlineLevel="0" collapsed="false">
      <c r="A71" s="501"/>
      <c r="B71" s="504" t="n">
        <f aca="false">'9.ENLLUME i SEMÀFORS'!C56</f>
        <v>0</v>
      </c>
      <c r="C71" s="505" t="n">
        <f aca="false">'9.ENLLUME i SEMÀFORS'!B56</f>
        <v>0</v>
      </c>
      <c r="D71" s="505" t="n">
        <f aca="false">'9.ENLLUME i SEMÀFORS'!D56</f>
        <v>0</v>
      </c>
      <c r="E71" s="505" t="n">
        <f aca="false">'9.ENLLUME i SEMÀFORS'!E56</f>
        <v>0</v>
      </c>
      <c r="F71" s="505" t="n">
        <f aca="false">'9.ENLLUME i SEMÀFORS'!F56</f>
        <v>0</v>
      </c>
      <c r="G71" s="505"/>
      <c r="H71" s="505" t="n">
        <f aca="false">'9.ENLLUME i SEMÀFORS'!G56</f>
        <v>0</v>
      </c>
      <c r="I71" s="505" t="n">
        <f aca="false">'9.ENLLUME i SEMÀFORS'!I56</f>
        <v>0</v>
      </c>
      <c r="J71" s="505" t="n">
        <f aca="false">'9.ENLLUME i SEMÀFORS'!K56</f>
        <v>0</v>
      </c>
      <c r="K71" s="507" t="e">
        <f aca="false">H71/G71</f>
        <v>#DIV/0!</v>
      </c>
      <c r="L71" s="507" t="e">
        <f aca="false">I71/G71</f>
        <v>#DIV/0!</v>
      </c>
      <c r="M71" s="507" t="e">
        <f aca="false">J71/G71</f>
        <v>#DIV/0!</v>
      </c>
      <c r="N71" s="497" t="e">
        <f aca="false">(J71-H71)/H71</f>
        <v>#DIV/0!</v>
      </c>
    </row>
    <row r="72" customFormat="false" ht="12.75" hidden="false" customHeight="false" outlineLevel="0" collapsed="false">
      <c r="A72" s="501"/>
      <c r="B72" s="504" t="n">
        <f aca="false">'9.ENLLUME i SEMÀFORS'!C57</f>
        <v>0</v>
      </c>
      <c r="C72" s="505" t="n">
        <f aca="false">'9.ENLLUME i SEMÀFORS'!B57</f>
        <v>0</v>
      </c>
      <c r="D72" s="505" t="n">
        <f aca="false">'9.ENLLUME i SEMÀFORS'!D57</f>
        <v>0</v>
      </c>
      <c r="E72" s="505" t="n">
        <f aca="false">'9.ENLLUME i SEMÀFORS'!E57</f>
        <v>0</v>
      </c>
      <c r="F72" s="505" t="n">
        <f aca="false">'9.ENLLUME i SEMÀFORS'!F57</f>
        <v>0</v>
      </c>
      <c r="G72" s="505"/>
      <c r="H72" s="505" t="n">
        <f aca="false">'9.ENLLUME i SEMÀFORS'!G57</f>
        <v>0</v>
      </c>
      <c r="I72" s="505" t="n">
        <f aca="false">'9.ENLLUME i SEMÀFORS'!I57</f>
        <v>0</v>
      </c>
      <c r="J72" s="505" t="n">
        <f aca="false">'9.ENLLUME i SEMÀFORS'!K57</f>
        <v>0</v>
      </c>
      <c r="K72" s="507" t="e">
        <f aca="false">H72/G72</f>
        <v>#DIV/0!</v>
      </c>
      <c r="L72" s="507" t="e">
        <f aca="false">I72/G72</f>
        <v>#DIV/0!</v>
      </c>
      <c r="M72" s="507" t="e">
        <f aca="false">J72/G72</f>
        <v>#DIV/0!</v>
      </c>
      <c r="N72" s="497" t="e">
        <f aca="false">(J72-H72)/H72</f>
        <v>#DIV/0!</v>
      </c>
    </row>
    <row r="73" customFormat="false" ht="12.75" hidden="false" customHeight="false" outlineLevel="0" collapsed="false">
      <c r="A73" s="501"/>
      <c r="B73" s="504" t="n">
        <f aca="false">'9.ENLLUME i SEMÀFORS'!C58</f>
        <v>0</v>
      </c>
      <c r="C73" s="505" t="n">
        <f aca="false">'9.ENLLUME i SEMÀFORS'!B58</f>
        <v>0</v>
      </c>
      <c r="D73" s="505" t="n">
        <f aca="false">'9.ENLLUME i SEMÀFORS'!D58</f>
        <v>0</v>
      </c>
      <c r="E73" s="505" t="n">
        <f aca="false">'9.ENLLUME i SEMÀFORS'!E58</f>
        <v>0</v>
      </c>
      <c r="F73" s="505" t="n">
        <f aca="false">'9.ENLLUME i SEMÀFORS'!F58</f>
        <v>0</v>
      </c>
      <c r="G73" s="505"/>
      <c r="H73" s="505" t="n">
        <f aca="false">'9.ENLLUME i SEMÀFORS'!G58</f>
        <v>0</v>
      </c>
      <c r="I73" s="505" t="n">
        <f aca="false">'9.ENLLUME i SEMÀFORS'!I58</f>
        <v>0</v>
      </c>
      <c r="J73" s="505" t="n">
        <f aca="false">'9.ENLLUME i SEMÀFORS'!K58</f>
        <v>0</v>
      </c>
      <c r="K73" s="507" t="e">
        <f aca="false">H73/G73</f>
        <v>#DIV/0!</v>
      </c>
      <c r="L73" s="507" t="e">
        <f aca="false">I73/G73</f>
        <v>#DIV/0!</v>
      </c>
      <c r="M73" s="507" t="e">
        <f aca="false">J73/G73</f>
        <v>#DIV/0!</v>
      </c>
      <c r="N73" s="497" t="e">
        <f aca="false">(J73-H73)/H73</f>
        <v>#DIV/0!</v>
      </c>
    </row>
    <row r="74" customFormat="false" ht="12.75" hidden="false" customHeight="false" outlineLevel="0" collapsed="false">
      <c r="A74" s="501"/>
      <c r="B74" s="504" t="n">
        <f aca="false">'9.ENLLUME i SEMÀFORS'!C59</f>
        <v>0</v>
      </c>
      <c r="C74" s="505" t="n">
        <f aca="false">'9.ENLLUME i SEMÀFORS'!B59</f>
        <v>0</v>
      </c>
      <c r="D74" s="505" t="n">
        <f aca="false">'9.ENLLUME i SEMÀFORS'!D59</f>
        <v>0</v>
      </c>
      <c r="E74" s="505" t="n">
        <f aca="false">'9.ENLLUME i SEMÀFORS'!E59</f>
        <v>0</v>
      </c>
      <c r="F74" s="505" t="n">
        <f aca="false">'9.ENLLUME i SEMÀFORS'!F59</f>
        <v>0</v>
      </c>
      <c r="G74" s="505"/>
      <c r="H74" s="505" t="n">
        <f aca="false">'9.ENLLUME i SEMÀFORS'!G59</f>
        <v>0</v>
      </c>
      <c r="I74" s="505" t="n">
        <f aca="false">'9.ENLLUME i SEMÀFORS'!I59</f>
        <v>0</v>
      </c>
      <c r="J74" s="505" t="n">
        <f aca="false">'9.ENLLUME i SEMÀFORS'!K59</f>
        <v>0</v>
      </c>
      <c r="K74" s="507" t="e">
        <f aca="false">H74/G74</f>
        <v>#DIV/0!</v>
      </c>
      <c r="L74" s="507" t="e">
        <f aca="false">I74/G74</f>
        <v>#DIV/0!</v>
      </c>
      <c r="M74" s="507" t="e">
        <f aca="false">J74/G74</f>
        <v>#DIV/0!</v>
      </c>
      <c r="N74" s="497" t="e">
        <f aca="false">(J74-H74)/H74</f>
        <v>#DIV/0!</v>
      </c>
    </row>
    <row r="75" customFormat="false" ht="12.75" hidden="false" customHeight="false" outlineLevel="0" collapsed="false">
      <c r="A75" s="501"/>
      <c r="B75" s="504" t="n">
        <f aca="false">'9.ENLLUME i SEMÀFORS'!C60</f>
        <v>0</v>
      </c>
      <c r="C75" s="505" t="n">
        <f aca="false">'9.ENLLUME i SEMÀFORS'!B60</f>
        <v>0</v>
      </c>
      <c r="D75" s="505" t="n">
        <f aca="false">'9.ENLLUME i SEMÀFORS'!D60</f>
        <v>0</v>
      </c>
      <c r="E75" s="505" t="n">
        <f aca="false">'9.ENLLUME i SEMÀFORS'!E60</f>
        <v>0</v>
      </c>
      <c r="F75" s="505" t="n">
        <f aca="false">'9.ENLLUME i SEMÀFORS'!F60</f>
        <v>0</v>
      </c>
      <c r="G75" s="505"/>
      <c r="H75" s="505" t="n">
        <f aca="false">'9.ENLLUME i SEMÀFORS'!G60</f>
        <v>0</v>
      </c>
      <c r="I75" s="505" t="n">
        <f aca="false">'9.ENLLUME i SEMÀFORS'!I60</f>
        <v>0</v>
      </c>
      <c r="J75" s="505" t="n">
        <f aca="false">'9.ENLLUME i SEMÀFORS'!K60</f>
        <v>0</v>
      </c>
      <c r="K75" s="507" t="e">
        <f aca="false">H75/G75</f>
        <v>#DIV/0!</v>
      </c>
      <c r="L75" s="507" t="e">
        <f aca="false">I75/G75</f>
        <v>#DIV/0!</v>
      </c>
      <c r="M75" s="507" t="e">
        <f aca="false">J75/G75</f>
        <v>#DIV/0!</v>
      </c>
      <c r="N75" s="497" t="e">
        <f aca="false">(J75-H75)/H75</f>
        <v>#DIV/0!</v>
      </c>
    </row>
    <row r="76" customFormat="false" ht="12.75" hidden="false" customHeight="false" outlineLevel="0" collapsed="false">
      <c r="A76" s="501"/>
      <c r="B76" s="504" t="n">
        <f aca="false">'9.ENLLUME i SEMÀFORS'!C61</f>
        <v>0</v>
      </c>
      <c r="C76" s="505" t="n">
        <f aca="false">'9.ENLLUME i SEMÀFORS'!B61</f>
        <v>0</v>
      </c>
      <c r="D76" s="505" t="n">
        <f aca="false">'9.ENLLUME i SEMÀFORS'!D61</f>
        <v>0</v>
      </c>
      <c r="E76" s="505" t="n">
        <f aca="false">'9.ENLLUME i SEMÀFORS'!E61</f>
        <v>0</v>
      </c>
      <c r="F76" s="505" t="n">
        <f aca="false">'9.ENLLUME i SEMÀFORS'!F61</f>
        <v>0</v>
      </c>
      <c r="G76" s="505"/>
      <c r="H76" s="505" t="n">
        <f aca="false">'9.ENLLUME i SEMÀFORS'!G61</f>
        <v>0</v>
      </c>
      <c r="I76" s="505" t="n">
        <f aca="false">'9.ENLLUME i SEMÀFORS'!I61</f>
        <v>0</v>
      </c>
      <c r="J76" s="505" t="n">
        <f aca="false">'9.ENLLUME i SEMÀFORS'!K61</f>
        <v>0</v>
      </c>
      <c r="K76" s="507" t="e">
        <f aca="false">H76/G76</f>
        <v>#DIV/0!</v>
      </c>
      <c r="L76" s="507" t="e">
        <f aca="false">I76/G76</f>
        <v>#DIV/0!</v>
      </c>
      <c r="M76" s="507" t="e">
        <f aca="false">J76/G76</f>
        <v>#DIV/0!</v>
      </c>
      <c r="N76" s="497" t="e">
        <f aca="false">(J76-H76)/H76</f>
        <v>#DIV/0!</v>
      </c>
    </row>
    <row r="77" customFormat="false" ht="12.75" hidden="false" customHeight="false" outlineLevel="0" collapsed="false">
      <c r="A77" s="501"/>
      <c r="B77" s="504" t="n">
        <f aca="false">'9.ENLLUME i SEMÀFORS'!C62</f>
        <v>0</v>
      </c>
      <c r="C77" s="505" t="n">
        <f aca="false">'9.ENLLUME i SEMÀFORS'!B62</f>
        <v>0</v>
      </c>
      <c r="D77" s="505" t="n">
        <f aca="false">'9.ENLLUME i SEMÀFORS'!D62</f>
        <v>0</v>
      </c>
      <c r="E77" s="505" t="n">
        <f aca="false">'9.ENLLUME i SEMÀFORS'!E62</f>
        <v>0</v>
      </c>
      <c r="F77" s="505" t="n">
        <f aca="false">'9.ENLLUME i SEMÀFORS'!F62</f>
        <v>0</v>
      </c>
      <c r="G77" s="505"/>
      <c r="H77" s="505" t="n">
        <f aca="false">'9.ENLLUME i SEMÀFORS'!G62</f>
        <v>0</v>
      </c>
      <c r="I77" s="505" t="n">
        <f aca="false">'9.ENLLUME i SEMÀFORS'!I62</f>
        <v>0</v>
      </c>
      <c r="J77" s="505" t="n">
        <f aca="false">'9.ENLLUME i SEMÀFORS'!K62</f>
        <v>0</v>
      </c>
      <c r="K77" s="507" t="e">
        <f aca="false">H77/G77</f>
        <v>#DIV/0!</v>
      </c>
      <c r="L77" s="507" t="e">
        <f aca="false">I77/G77</f>
        <v>#DIV/0!</v>
      </c>
      <c r="M77" s="507" t="e">
        <f aca="false">J77/G77</f>
        <v>#DIV/0!</v>
      </c>
      <c r="N77" s="497" t="e">
        <f aca="false">(J77-H77)/H77</f>
        <v>#DIV/0!</v>
      </c>
    </row>
    <row r="78" customFormat="false" ht="12.75" hidden="false" customHeight="false" outlineLevel="0" collapsed="false">
      <c r="A78" s="501"/>
      <c r="B78" s="504" t="n">
        <f aca="false">'9.ENLLUME i SEMÀFORS'!C63</f>
        <v>0</v>
      </c>
      <c r="C78" s="505" t="n">
        <f aca="false">'9.ENLLUME i SEMÀFORS'!B63</f>
        <v>0</v>
      </c>
      <c r="D78" s="505" t="n">
        <f aca="false">'9.ENLLUME i SEMÀFORS'!D63</f>
        <v>0</v>
      </c>
      <c r="E78" s="505" t="n">
        <f aca="false">'9.ENLLUME i SEMÀFORS'!E63</f>
        <v>0</v>
      </c>
      <c r="F78" s="505" t="n">
        <f aca="false">'9.ENLLUME i SEMÀFORS'!F63</f>
        <v>0</v>
      </c>
      <c r="G78" s="505"/>
      <c r="H78" s="505" t="n">
        <f aca="false">'9.ENLLUME i SEMÀFORS'!G63</f>
        <v>0</v>
      </c>
      <c r="I78" s="505" t="n">
        <f aca="false">'9.ENLLUME i SEMÀFORS'!I63</f>
        <v>0</v>
      </c>
      <c r="J78" s="505" t="n">
        <f aca="false">'9.ENLLUME i SEMÀFORS'!K63</f>
        <v>0</v>
      </c>
      <c r="K78" s="507" t="e">
        <f aca="false">H78/G78</f>
        <v>#DIV/0!</v>
      </c>
      <c r="L78" s="507" t="e">
        <f aca="false">I78/G78</f>
        <v>#DIV/0!</v>
      </c>
      <c r="M78" s="507" t="e">
        <f aca="false">J78/G78</f>
        <v>#DIV/0!</v>
      </c>
      <c r="N78" s="497" t="e">
        <f aca="false">(J78-H78)/H78</f>
        <v>#DIV/0!</v>
      </c>
    </row>
    <row r="79" customFormat="false" ht="12.75" hidden="false" customHeight="false" outlineLevel="0" collapsed="false">
      <c r="A79" s="501"/>
      <c r="B79" s="504" t="n">
        <f aca="false">'9.ENLLUME i SEMÀFORS'!C64</f>
        <v>0</v>
      </c>
      <c r="C79" s="505" t="n">
        <f aca="false">'9.ENLLUME i SEMÀFORS'!B64</f>
        <v>0</v>
      </c>
      <c r="D79" s="505" t="n">
        <f aca="false">'9.ENLLUME i SEMÀFORS'!D64</f>
        <v>0</v>
      </c>
      <c r="E79" s="505" t="n">
        <f aca="false">'9.ENLLUME i SEMÀFORS'!E64</f>
        <v>0</v>
      </c>
      <c r="F79" s="505" t="n">
        <f aca="false">'9.ENLLUME i SEMÀFORS'!F64</f>
        <v>0</v>
      </c>
      <c r="G79" s="505"/>
      <c r="H79" s="505" t="n">
        <f aca="false">'9.ENLLUME i SEMÀFORS'!G64</f>
        <v>0</v>
      </c>
      <c r="I79" s="505" t="n">
        <f aca="false">'9.ENLLUME i SEMÀFORS'!I64</f>
        <v>0</v>
      </c>
      <c r="J79" s="505" t="n">
        <f aca="false">'9.ENLLUME i SEMÀFORS'!K64</f>
        <v>0</v>
      </c>
      <c r="K79" s="507" t="e">
        <f aca="false">H79/G79</f>
        <v>#DIV/0!</v>
      </c>
      <c r="L79" s="507" t="e">
        <f aca="false">I79/G79</f>
        <v>#DIV/0!</v>
      </c>
      <c r="M79" s="507" t="e">
        <f aca="false">J79/G79</f>
        <v>#DIV/0!</v>
      </c>
      <c r="N79" s="497" t="e">
        <f aca="false">(J79-H79)/H79</f>
        <v>#DIV/0!</v>
      </c>
    </row>
    <row r="80" customFormat="false" ht="12.75" hidden="false" customHeight="false" outlineLevel="0" collapsed="false">
      <c r="A80" s="501"/>
      <c r="B80" s="504" t="n">
        <f aca="false">'9.ENLLUME i SEMÀFORS'!C65</f>
        <v>0</v>
      </c>
      <c r="C80" s="505" t="n">
        <f aca="false">'9.ENLLUME i SEMÀFORS'!B65</f>
        <v>0</v>
      </c>
      <c r="D80" s="505" t="n">
        <f aca="false">'9.ENLLUME i SEMÀFORS'!D65</f>
        <v>0</v>
      </c>
      <c r="E80" s="505" t="n">
        <f aca="false">'9.ENLLUME i SEMÀFORS'!E65</f>
        <v>0</v>
      </c>
      <c r="F80" s="505" t="n">
        <f aca="false">'9.ENLLUME i SEMÀFORS'!F65</f>
        <v>0</v>
      </c>
      <c r="G80" s="505"/>
      <c r="H80" s="505" t="n">
        <f aca="false">'9.ENLLUME i SEMÀFORS'!G65</f>
        <v>0</v>
      </c>
      <c r="I80" s="505" t="n">
        <f aca="false">'9.ENLLUME i SEMÀFORS'!I65</f>
        <v>0</v>
      </c>
      <c r="J80" s="505" t="n">
        <f aca="false">'9.ENLLUME i SEMÀFORS'!K65</f>
        <v>0</v>
      </c>
      <c r="K80" s="507" t="e">
        <f aca="false">H80/G80</f>
        <v>#DIV/0!</v>
      </c>
      <c r="L80" s="507" t="e">
        <f aca="false">I80/G80</f>
        <v>#DIV/0!</v>
      </c>
      <c r="M80" s="507" t="e">
        <f aca="false">J80/G80</f>
        <v>#DIV/0!</v>
      </c>
      <c r="N80" s="497" t="e">
        <f aca="false">(J80-H80)/H80</f>
        <v>#DIV/0!</v>
      </c>
    </row>
    <row r="81" customFormat="false" ht="12.75" hidden="false" customHeight="false" outlineLevel="0" collapsed="false">
      <c r="A81" s="501"/>
      <c r="B81" s="504" t="n">
        <f aca="false">'9.ENLLUME i SEMÀFORS'!C66</f>
        <v>0</v>
      </c>
      <c r="C81" s="505" t="n">
        <f aca="false">'9.ENLLUME i SEMÀFORS'!B66</f>
        <v>0</v>
      </c>
      <c r="D81" s="505" t="n">
        <f aca="false">'9.ENLLUME i SEMÀFORS'!D66</f>
        <v>0</v>
      </c>
      <c r="E81" s="505" t="n">
        <f aca="false">'9.ENLLUME i SEMÀFORS'!E66</f>
        <v>0</v>
      </c>
      <c r="F81" s="505" t="n">
        <f aca="false">'9.ENLLUME i SEMÀFORS'!F66</f>
        <v>0</v>
      </c>
      <c r="G81" s="505"/>
      <c r="H81" s="505" t="n">
        <f aca="false">'9.ENLLUME i SEMÀFORS'!G66</f>
        <v>0</v>
      </c>
      <c r="I81" s="505" t="n">
        <f aca="false">'9.ENLLUME i SEMÀFORS'!I66</f>
        <v>0</v>
      </c>
      <c r="J81" s="505" t="n">
        <f aca="false">'9.ENLLUME i SEMÀFORS'!K66</f>
        <v>0</v>
      </c>
      <c r="K81" s="507" t="e">
        <f aca="false">H81/G81</f>
        <v>#DIV/0!</v>
      </c>
      <c r="L81" s="507" t="e">
        <f aca="false">I81/G81</f>
        <v>#DIV/0!</v>
      </c>
      <c r="M81" s="507" t="e">
        <f aca="false">J81/G81</f>
        <v>#DIV/0!</v>
      </c>
      <c r="N81" s="497" t="e">
        <f aca="false">(M81-K81)/K81</f>
        <v>#DIV/0!</v>
      </c>
    </row>
    <row r="82" customFormat="false" ht="12.75" hidden="false" customHeight="false" outlineLevel="0" collapsed="false">
      <c r="A82" s="501"/>
      <c r="B82" s="504" t="n">
        <f aca="false">'9.ENLLUME i SEMÀFORS'!C67</f>
        <v>0</v>
      </c>
      <c r="C82" s="505" t="n">
        <f aca="false">'9.ENLLUME i SEMÀFORS'!B67</f>
        <v>0</v>
      </c>
      <c r="D82" s="505" t="n">
        <f aca="false">'9.ENLLUME i SEMÀFORS'!D67</f>
        <v>0</v>
      </c>
      <c r="E82" s="505" t="n">
        <f aca="false">'9.ENLLUME i SEMÀFORS'!E67</f>
        <v>0</v>
      </c>
      <c r="F82" s="505" t="n">
        <f aca="false">'9.ENLLUME i SEMÀFORS'!F67</f>
        <v>0</v>
      </c>
      <c r="G82" s="505"/>
      <c r="H82" s="505" t="n">
        <f aca="false">'9.ENLLUME i SEMÀFORS'!G67</f>
        <v>0</v>
      </c>
      <c r="I82" s="505" t="n">
        <f aca="false">'9.ENLLUME i SEMÀFORS'!I67</f>
        <v>0</v>
      </c>
      <c r="J82" s="505" t="n">
        <f aca="false">'9.ENLLUME i SEMÀFORS'!K67</f>
        <v>0</v>
      </c>
      <c r="K82" s="507" t="e">
        <f aca="false">H82/G82</f>
        <v>#DIV/0!</v>
      </c>
      <c r="L82" s="507" t="e">
        <f aca="false">I82/G82</f>
        <v>#DIV/0!</v>
      </c>
      <c r="M82" s="507" t="e">
        <f aca="false">J82/G82</f>
        <v>#DIV/0!</v>
      </c>
      <c r="N82" s="497" t="e">
        <f aca="false">(M82-K82)/K82</f>
        <v>#DIV/0!</v>
      </c>
    </row>
    <row r="83" customFormat="false" ht="12.75" hidden="false" customHeight="false" outlineLevel="0" collapsed="false">
      <c r="A83" s="501"/>
      <c r="B83" s="504" t="n">
        <f aca="false">'9.ENLLUME i SEMÀFORS'!C68</f>
        <v>0</v>
      </c>
      <c r="C83" s="505" t="n">
        <f aca="false">'9.ENLLUME i SEMÀFORS'!B68</f>
        <v>0</v>
      </c>
      <c r="D83" s="505" t="n">
        <f aca="false">'9.ENLLUME i SEMÀFORS'!D68</f>
        <v>0</v>
      </c>
      <c r="E83" s="505" t="n">
        <f aca="false">'9.ENLLUME i SEMÀFORS'!E68</f>
        <v>0</v>
      </c>
      <c r="F83" s="505" t="n">
        <f aca="false">'9.ENLLUME i SEMÀFORS'!F68</f>
        <v>0</v>
      </c>
      <c r="G83" s="505"/>
      <c r="H83" s="505" t="n">
        <f aca="false">'9.ENLLUME i SEMÀFORS'!G68</f>
        <v>0</v>
      </c>
      <c r="I83" s="505" t="n">
        <f aca="false">'9.ENLLUME i SEMÀFORS'!I68</f>
        <v>0</v>
      </c>
      <c r="J83" s="505" t="n">
        <f aca="false">'9.ENLLUME i SEMÀFORS'!K68</f>
        <v>0</v>
      </c>
      <c r="K83" s="507" t="e">
        <f aca="false">H83/G83</f>
        <v>#DIV/0!</v>
      </c>
      <c r="L83" s="507" t="e">
        <f aca="false">I83/G83</f>
        <v>#DIV/0!</v>
      </c>
      <c r="M83" s="507" t="e">
        <f aca="false">J83/G83</f>
        <v>#DIV/0!</v>
      </c>
      <c r="N83" s="497" t="e">
        <f aca="false">(M83-K83)/K83</f>
        <v>#DIV/0!</v>
      </c>
    </row>
    <row r="84" customFormat="false" ht="12.75" hidden="false" customHeight="false" outlineLevel="0" collapsed="false">
      <c r="A84" s="501"/>
      <c r="B84" s="504" t="n">
        <f aca="false">'9.ENLLUME i SEMÀFORS'!C69</f>
        <v>0</v>
      </c>
      <c r="C84" s="505" t="n">
        <f aca="false">'9.ENLLUME i SEMÀFORS'!B69</f>
        <v>0</v>
      </c>
      <c r="D84" s="505" t="n">
        <f aca="false">'9.ENLLUME i SEMÀFORS'!D69</f>
        <v>0</v>
      </c>
      <c r="E84" s="505" t="n">
        <f aca="false">'9.ENLLUME i SEMÀFORS'!E69</f>
        <v>0</v>
      </c>
      <c r="F84" s="505" t="n">
        <f aca="false">'9.ENLLUME i SEMÀFORS'!F69</f>
        <v>0</v>
      </c>
      <c r="G84" s="505"/>
      <c r="H84" s="505" t="n">
        <f aca="false">'9.ENLLUME i SEMÀFORS'!G69</f>
        <v>0</v>
      </c>
      <c r="I84" s="505" t="n">
        <f aca="false">'9.ENLLUME i SEMÀFORS'!I69</f>
        <v>0</v>
      </c>
      <c r="J84" s="505" t="n">
        <f aca="false">'9.ENLLUME i SEMÀFORS'!K69</f>
        <v>0</v>
      </c>
      <c r="K84" s="507" t="e">
        <f aca="false">H84/G84</f>
        <v>#DIV/0!</v>
      </c>
      <c r="L84" s="507" t="e">
        <f aca="false">I84/G84</f>
        <v>#DIV/0!</v>
      </c>
      <c r="M84" s="507" t="e">
        <f aca="false">J84/G84</f>
        <v>#DIV/0!</v>
      </c>
      <c r="N84" s="497" t="e">
        <f aca="false">(M84-K84)/K84</f>
        <v>#DIV/0!</v>
      </c>
    </row>
    <row r="85" customFormat="false" ht="12.75" hidden="false" customHeight="false" outlineLevel="0" collapsed="false">
      <c r="A85" s="501"/>
      <c r="B85" s="504" t="n">
        <f aca="false">'9.ENLLUME i SEMÀFORS'!C70</f>
        <v>0</v>
      </c>
      <c r="C85" s="505" t="n">
        <f aca="false">'9.ENLLUME i SEMÀFORS'!B70</f>
        <v>0</v>
      </c>
      <c r="D85" s="505" t="n">
        <f aca="false">'9.ENLLUME i SEMÀFORS'!D70</f>
        <v>0</v>
      </c>
      <c r="E85" s="505" t="n">
        <f aca="false">'9.ENLLUME i SEMÀFORS'!E70</f>
        <v>0</v>
      </c>
      <c r="F85" s="505" t="n">
        <f aca="false">'9.ENLLUME i SEMÀFORS'!F70</f>
        <v>0</v>
      </c>
      <c r="G85" s="505"/>
      <c r="H85" s="505" t="n">
        <f aca="false">'9.ENLLUME i SEMÀFORS'!G70</f>
        <v>0</v>
      </c>
      <c r="I85" s="505" t="n">
        <f aca="false">'9.ENLLUME i SEMÀFORS'!I70</f>
        <v>0</v>
      </c>
      <c r="J85" s="505" t="n">
        <f aca="false">'9.ENLLUME i SEMÀFORS'!K70</f>
        <v>0</v>
      </c>
      <c r="K85" s="507" t="e">
        <f aca="false">H85/G85</f>
        <v>#DIV/0!</v>
      </c>
      <c r="L85" s="507" t="e">
        <f aca="false">I85/G85</f>
        <v>#DIV/0!</v>
      </c>
      <c r="M85" s="507" t="e">
        <f aca="false">J85/G85</f>
        <v>#DIV/0!</v>
      </c>
      <c r="N85" s="497" t="e">
        <f aca="false">(M85-K85)/K85</f>
        <v>#DIV/0!</v>
      </c>
    </row>
    <row r="86" customFormat="false" ht="12.75" hidden="false" customHeight="false" outlineLevel="0" collapsed="false">
      <c r="A86" s="501"/>
      <c r="B86" s="504" t="n">
        <f aca="false">'9.ENLLUME i SEMÀFORS'!C71</f>
        <v>0</v>
      </c>
      <c r="C86" s="505" t="n">
        <f aca="false">'9.ENLLUME i SEMÀFORS'!B71</f>
        <v>0</v>
      </c>
      <c r="D86" s="505" t="n">
        <f aca="false">'9.ENLLUME i SEMÀFORS'!D71</f>
        <v>0</v>
      </c>
      <c r="E86" s="505" t="n">
        <f aca="false">'9.ENLLUME i SEMÀFORS'!E71</f>
        <v>0</v>
      </c>
      <c r="F86" s="505" t="n">
        <f aca="false">'9.ENLLUME i SEMÀFORS'!F71</f>
        <v>0</v>
      </c>
      <c r="G86" s="505"/>
      <c r="H86" s="505" t="n">
        <f aca="false">'9.ENLLUME i SEMÀFORS'!G71</f>
        <v>0</v>
      </c>
      <c r="I86" s="505" t="n">
        <f aca="false">'9.ENLLUME i SEMÀFORS'!I71</f>
        <v>0</v>
      </c>
      <c r="J86" s="505" t="n">
        <f aca="false">'9.ENLLUME i SEMÀFORS'!K71</f>
        <v>0</v>
      </c>
      <c r="K86" s="507" t="e">
        <f aca="false">H86/G86</f>
        <v>#DIV/0!</v>
      </c>
      <c r="L86" s="507" t="e">
        <f aca="false">I86/G86</f>
        <v>#DIV/0!</v>
      </c>
      <c r="M86" s="507" t="e">
        <f aca="false">J86/G86</f>
        <v>#DIV/0!</v>
      </c>
      <c r="N86" s="497" t="e">
        <f aca="false">(M86-K86)/K86</f>
        <v>#DIV/0!</v>
      </c>
    </row>
    <row r="87" customFormat="false" ht="12.75" hidden="false" customHeight="false" outlineLevel="0" collapsed="false">
      <c r="A87" s="501"/>
      <c r="B87" s="504" t="n">
        <f aca="false">'9.ENLLUME i SEMÀFORS'!C72</f>
        <v>0</v>
      </c>
      <c r="C87" s="505" t="n">
        <f aca="false">'9.ENLLUME i SEMÀFORS'!B72</f>
        <v>0</v>
      </c>
      <c r="D87" s="505" t="n">
        <f aca="false">'9.ENLLUME i SEMÀFORS'!D72</f>
        <v>0</v>
      </c>
      <c r="E87" s="505" t="n">
        <f aca="false">'9.ENLLUME i SEMÀFORS'!E72</f>
        <v>0</v>
      </c>
      <c r="F87" s="505" t="n">
        <f aca="false">'9.ENLLUME i SEMÀFORS'!F72</f>
        <v>0</v>
      </c>
      <c r="G87" s="505"/>
      <c r="H87" s="505" t="n">
        <f aca="false">'9.ENLLUME i SEMÀFORS'!G72</f>
        <v>0</v>
      </c>
      <c r="I87" s="505" t="n">
        <f aca="false">'9.ENLLUME i SEMÀFORS'!I72</f>
        <v>0</v>
      </c>
      <c r="J87" s="505" t="n">
        <f aca="false">'9.ENLLUME i SEMÀFORS'!K72</f>
        <v>0</v>
      </c>
      <c r="K87" s="507" t="e">
        <f aca="false">H87/G87</f>
        <v>#DIV/0!</v>
      </c>
      <c r="L87" s="507" t="e">
        <f aca="false">I87/G87</f>
        <v>#DIV/0!</v>
      </c>
      <c r="M87" s="507" t="e">
        <f aca="false">J87/G87</f>
        <v>#DIV/0!</v>
      </c>
      <c r="N87" s="497" t="e">
        <f aca="false">(M87-K87)/K87</f>
        <v>#DIV/0!</v>
      </c>
    </row>
    <row r="88" customFormat="false" ht="12.75" hidden="false" customHeight="false" outlineLevel="0" collapsed="false">
      <c r="A88" s="501"/>
      <c r="B88" s="504" t="n">
        <f aca="false">'9.ENLLUME i SEMÀFORS'!C73</f>
        <v>0</v>
      </c>
      <c r="C88" s="505" t="n">
        <f aca="false">'9.ENLLUME i SEMÀFORS'!B73</f>
        <v>0</v>
      </c>
      <c r="D88" s="505" t="n">
        <f aca="false">'9.ENLLUME i SEMÀFORS'!D73</f>
        <v>0</v>
      </c>
      <c r="E88" s="505" t="n">
        <f aca="false">'9.ENLLUME i SEMÀFORS'!E73</f>
        <v>0</v>
      </c>
      <c r="F88" s="505" t="n">
        <f aca="false">'9.ENLLUME i SEMÀFORS'!F73</f>
        <v>0</v>
      </c>
      <c r="G88" s="505"/>
      <c r="H88" s="505" t="n">
        <f aca="false">'9.ENLLUME i SEMÀFORS'!G73</f>
        <v>0</v>
      </c>
      <c r="I88" s="505" t="n">
        <f aca="false">'9.ENLLUME i SEMÀFORS'!I73</f>
        <v>0</v>
      </c>
      <c r="J88" s="505" t="n">
        <f aca="false">'9.ENLLUME i SEMÀFORS'!K73</f>
        <v>0</v>
      </c>
      <c r="K88" s="507" t="e">
        <f aca="false">H88/G88</f>
        <v>#DIV/0!</v>
      </c>
      <c r="L88" s="507" t="e">
        <f aca="false">I88/G88</f>
        <v>#DIV/0!</v>
      </c>
      <c r="M88" s="507" t="e">
        <f aca="false">J88/G88</f>
        <v>#DIV/0!</v>
      </c>
      <c r="N88" s="497" t="e">
        <f aca="false">(M88-K88)/K88</f>
        <v>#DIV/0!</v>
      </c>
    </row>
    <row r="89" customFormat="false" ht="12.75" hidden="false" customHeight="false" outlineLevel="0" collapsed="false">
      <c r="A89" s="501"/>
      <c r="B89" s="504" t="n">
        <f aca="false">'9.ENLLUME i SEMÀFORS'!C74</f>
        <v>0</v>
      </c>
      <c r="C89" s="505" t="n">
        <f aca="false">'9.ENLLUME i SEMÀFORS'!B74</f>
        <v>0</v>
      </c>
      <c r="D89" s="505" t="n">
        <f aca="false">'9.ENLLUME i SEMÀFORS'!D74</f>
        <v>0</v>
      </c>
      <c r="E89" s="505" t="n">
        <f aca="false">'9.ENLLUME i SEMÀFORS'!E74</f>
        <v>0</v>
      </c>
      <c r="F89" s="505" t="n">
        <f aca="false">'9.ENLLUME i SEMÀFORS'!F74</f>
        <v>0</v>
      </c>
      <c r="G89" s="505"/>
      <c r="H89" s="505" t="n">
        <f aca="false">'9.ENLLUME i SEMÀFORS'!G74</f>
        <v>0</v>
      </c>
      <c r="I89" s="505" t="n">
        <f aca="false">'9.ENLLUME i SEMÀFORS'!I74</f>
        <v>0</v>
      </c>
      <c r="J89" s="505" t="n">
        <f aca="false">'9.ENLLUME i SEMÀFORS'!K74</f>
        <v>0</v>
      </c>
      <c r="K89" s="507" t="e">
        <f aca="false">H89/G89</f>
        <v>#DIV/0!</v>
      </c>
      <c r="L89" s="507" t="e">
        <f aca="false">I89/G89</f>
        <v>#DIV/0!</v>
      </c>
      <c r="M89" s="507" t="e">
        <f aca="false">J89/G89</f>
        <v>#DIV/0!</v>
      </c>
      <c r="N89" s="497" t="e">
        <f aca="false">(M89-K89)/K89</f>
        <v>#DIV/0!</v>
      </c>
    </row>
    <row r="90" customFormat="false" ht="12.75" hidden="false" customHeight="false" outlineLevel="0" collapsed="false">
      <c r="A90" s="501"/>
      <c r="B90" s="504" t="n">
        <f aca="false">'9.ENLLUME i SEMÀFORS'!A75</f>
        <v>0</v>
      </c>
      <c r="C90" s="505" t="n">
        <f aca="false">'9.ENLLUME i SEMÀFORS'!B75</f>
        <v>0</v>
      </c>
      <c r="D90" s="505" t="n">
        <f aca="false">'9.ENLLUME i SEMÀFORS'!D75</f>
        <v>0</v>
      </c>
      <c r="E90" s="505" t="n">
        <f aca="false">'9.ENLLUME i SEMÀFORS'!E75</f>
        <v>0</v>
      </c>
      <c r="F90" s="505" t="n">
        <f aca="false">'9.ENLLUME i SEMÀFORS'!F75</f>
        <v>0</v>
      </c>
      <c r="G90" s="505"/>
      <c r="H90" s="505" t="n">
        <f aca="false">'9.ENLLUME i SEMÀFORS'!G75</f>
        <v>0</v>
      </c>
      <c r="I90" s="505" t="n">
        <f aca="false">'9.ENLLUME i SEMÀFORS'!I75</f>
        <v>0</v>
      </c>
      <c r="J90" s="505" t="n">
        <f aca="false">'9.ENLLUME i SEMÀFORS'!K75</f>
        <v>0</v>
      </c>
      <c r="K90" s="507" t="e">
        <f aca="false">H90/G90</f>
        <v>#DIV/0!</v>
      </c>
      <c r="L90" s="507" t="e">
        <f aca="false">I90/G90</f>
        <v>#DIV/0!</v>
      </c>
      <c r="M90" s="507" t="e">
        <f aca="false">J90/G90</f>
        <v>#DIV/0!</v>
      </c>
      <c r="N90" s="497" t="e">
        <f aca="false">(M90-K90)/K90</f>
        <v>#DIV/0!</v>
      </c>
    </row>
    <row r="91" customFormat="false" ht="12.75" hidden="false" customHeight="false" outlineLevel="0" collapsed="false">
      <c r="A91" s="501"/>
      <c r="B91" s="504" t="n">
        <f aca="false">'9.ENLLUME i SEMÀFORS'!A76</f>
        <v>0</v>
      </c>
      <c r="C91" s="505" t="n">
        <f aca="false">'9.ENLLUME i SEMÀFORS'!B76</f>
        <v>0</v>
      </c>
      <c r="D91" s="505" t="n">
        <f aca="false">'9.ENLLUME i SEMÀFORS'!D76</f>
        <v>0</v>
      </c>
      <c r="E91" s="505" t="n">
        <f aca="false">'9.ENLLUME i SEMÀFORS'!E76</f>
        <v>0</v>
      </c>
      <c r="F91" s="505" t="n">
        <f aca="false">'9.ENLLUME i SEMÀFORS'!F76</f>
        <v>0</v>
      </c>
      <c r="G91" s="505"/>
      <c r="H91" s="505" t="n">
        <f aca="false">'9.ENLLUME i SEMÀFORS'!G76</f>
        <v>0</v>
      </c>
      <c r="I91" s="505" t="n">
        <f aca="false">'9.ENLLUME i SEMÀFORS'!I76</f>
        <v>0</v>
      </c>
      <c r="J91" s="505" t="n">
        <f aca="false">'9.ENLLUME i SEMÀFORS'!K76</f>
        <v>0</v>
      </c>
      <c r="K91" s="507" t="e">
        <f aca="false">H91/G91</f>
        <v>#DIV/0!</v>
      </c>
      <c r="L91" s="507" t="e">
        <f aca="false">I91/G91</f>
        <v>#DIV/0!</v>
      </c>
      <c r="M91" s="507" t="e">
        <f aca="false">J91/G91</f>
        <v>#DIV/0!</v>
      </c>
      <c r="N91" s="497" t="e">
        <f aca="false">(M91-K91)/K91</f>
        <v>#DIV/0!</v>
      </c>
    </row>
    <row r="92" customFormat="false" ht="12.75" hidden="false" customHeight="false" outlineLevel="0" collapsed="false">
      <c r="A92" s="501"/>
      <c r="B92" s="504" t="n">
        <f aca="false">'9.ENLLUME i SEMÀFORS'!A77</f>
        <v>0</v>
      </c>
      <c r="C92" s="505" t="n">
        <f aca="false">'9.ENLLUME i SEMÀFORS'!B77</f>
        <v>0</v>
      </c>
      <c r="D92" s="505" t="n">
        <f aca="false">'9.ENLLUME i SEMÀFORS'!D77</f>
        <v>0</v>
      </c>
      <c r="E92" s="505" t="n">
        <f aca="false">'9.ENLLUME i SEMÀFORS'!E77</f>
        <v>0</v>
      </c>
      <c r="F92" s="505" t="n">
        <f aca="false">'9.ENLLUME i SEMÀFORS'!F77</f>
        <v>0</v>
      </c>
      <c r="G92" s="505"/>
      <c r="H92" s="505" t="n">
        <f aca="false">'9.ENLLUME i SEMÀFORS'!G77</f>
        <v>0</v>
      </c>
      <c r="I92" s="505" t="n">
        <f aca="false">'9.ENLLUME i SEMÀFORS'!I77</f>
        <v>0</v>
      </c>
      <c r="J92" s="505" t="n">
        <f aca="false">'9.ENLLUME i SEMÀFORS'!K77</f>
        <v>0</v>
      </c>
      <c r="K92" s="507" t="e">
        <f aca="false">H92/G92</f>
        <v>#DIV/0!</v>
      </c>
      <c r="L92" s="507" t="e">
        <f aca="false">I92/G92</f>
        <v>#DIV/0!</v>
      </c>
      <c r="M92" s="507" t="e">
        <f aca="false">J92/G92</f>
        <v>#DIV/0!</v>
      </c>
      <c r="N92" s="497" t="e">
        <f aca="false">(M92-K92)/K92</f>
        <v>#DIV/0!</v>
      </c>
    </row>
    <row r="93" customFormat="false" ht="12.75" hidden="false" customHeight="false" outlineLevel="0" collapsed="false">
      <c r="A93" s="501"/>
      <c r="B93" s="504" t="n">
        <f aca="false">'9.ENLLUME i SEMÀFORS'!A78</f>
        <v>0</v>
      </c>
      <c r="C93" s="505" t="n">
        <f aca="false">'9.ENLLUME i SEMÀFORS'!B78</f>
        <v>0</v>
      </c>
      <c r="D93" s="505" t="n">
        <f aca="false">'9.ENLLUME i SEMÀFORS'!D78</f>
        <v>0</v>
      </c>
      <c r="E93" s="505" t="n">
        <f aca="false">'9.ENLLUME i SEMÀFORS'!E78</f>
        <v>0</v>
      </c>
      <c r="F93" s="505" t="n">
        <f aca="false">'9.ENLLUME i SEMÀFORS'!F78</f>
        <v>0</v>
      </c>
      <c r="G93" s="505"/>
      <c r="H93" s="505" t="n">
        <f aca="false">'9.ENLLUME i SEMÀFORS'!G78</f>
        <v>0</v>
      </c>
      <c r="I93" s="505" t="n">
        <f aca="false">'9.ENLLUME i SEMÀFORS'!I78</f>
        <v>0</v>
      </c>
      <c r="J93" s="505" t="n">
        <f aca="false">'9.ENLLUME i SEMÀFORS'!K78</f>
        <v>0</v>
      </c>
      <c r="K93" s="507" t="e">
        <f aca="false">H93/G93</f>
        <v>#DIV/0!</v>
      </c>
      <c r="L93" s="507" t="e">
        <f aca="false">I93/G93</f>
        <v>#DIV/0!</v>
      </c>
      <c r="M93" s="507" t="e">
        <f aca="false">J93/G93</f>
        <v>#DIV/0!</v>
      </c>
      <c r="N93" s="497" t="e">
        <f aca="false">(M93-K93)/K93</f>
        <v>#DIV/0!</v>
      </c>
    </row>
    <row r="94" customFormat="false" ht="12.75" hidden="false" customHeight="false" outlineLevel="0" collapsed="false">
      <c r="A94" s="501"/>
      <c r="B94" s="504" t="n">
        <f aca="false">'9.ENLLUME i SEMÀFORS'!A79</f>
        <v>0</v>
      </c>
      <c r="C94" s="505" t="n">
        <f aca="false">'9.ENLLUME i SEMÀFORS'!B79</f>
        <v>0</v>
      </c>
      <c r="D94" s="505" t="n">
        <f aca="false">'9.ENLLUME i SEMÀFORS'!D79</f>
        <v>0</v>
      </c>
      <c r="E94" s="505" t="n">
        <f aca="false">'9.ENLLUME i SEMÀFORS'!E79</f>
        <v>0</v>
      </c>
      <c r="F94" s="505" t="n">
        <f aca="false">'9.ENLLUME i SEMÀFORS'!F79</f>
        <v>0</v>
      </c>
      <c r="G94" s="508"/>
      <c r="H94" s="505" t="n">
        <f aca="false">'9.ENLLUME i SEMÀFORS'!G79</f>
        <v>0</v>
      </c>
      <c r="I94" s="505" t="n">
        <f aca="false">'9.ENLLUME i SEMÀFORS'!I79</f>
        <v>0</v>
      </c>
      <c r="J94" s="505" t="n">
        <f aca="false">'9.ENLLUME i SEMÀFORS'!K79</f>
        <v>0</v>
      </c>
      <c r="K94" s="507" t="e">
        <f aca="false">H94/G94</f>
        <v>#DIV/0!</v>
      </c>
      <c r="L94" s="507" t="e">
        <f aca="false">I94/G94</f>
        <v>#DIV/0!</v>
      </c>
      <c r="M94" s="507" t="e">
        <f aca="false">J94/G94</f>
        <v>#DIV/0!</v>
      </c>
      <c r="N94" s="497" t="e">
        <f aca="false">(M94-K94)/K94</f>
        <v>#DIV/0!</v>
      </c>
    </row>
    <row r="95" customFormat="false" ht="12.75" hidden="false" customHeight="false" outlineLevel="0" collapsed="false">
      <c r="A95" s="501"/>
      <c r="B95" s="504" t="n">
        <f aca="false">'9.ENLLUME i SEMÀFORS'!A80</f>
        <v>0</v>
      </c>
      <c r="C95" s="505" t="n">
        <f aca="false">'9.ENLLUME i SEMÀFORS'!B80</f>
        <v>0</v>
      </c>
      <c r="D95" s="505" t="n">
        <f aca="false">'9.ENLLUME i SEMÀFORS'!D80</f>
        <v>0</v>
      </c>
      <c r="E95" s="505" t="n">
        <f aca="false">'9.ENLLUME i SEMÀFORS'!E80</f>
        <v>0</v>
      </c>
      <c r="F95" s="505" t="n">
        <f aca="false">'9.ENLLUME i SEMÀFORS'!F80</f>
        <v>0</v>
      </c>
      <c r="G95" s="508"/>
      <c r="H95" s="505" t="n">
        <f aca="false">'9.ENLLUME i SEMÀFORS'!G80</f>
        <v>0</v>
      </c>
      <c r="I95" s="505" t="n">
        <f aca="false">'9.ENLLUME i SEMÀFORS'!I80</f>
        <v>0</v>
      </c>
      <c r="J95" s="505" t="n">
        <f aca="false">'9.ENLLUME i SEMÀFORS'!K80</f>
        <v>0</v>
      </c>
      <c r="K95" s="507" t="e">
        <f aca="false">H95/G95</f>
        <v>#DIV/0!</v>
      </c>
      <c r="L95" s="507" t="e">
        <f aca="false">I95/G95</f>
        <v>#DIV/0!</v>
      </c>
      <c r="M95" s="507" t="e">
        <f aca="false">J95/G95</f>
        <v>#DIV/0!</v>
      </c>
      <c r="N95" s="497" t="e">
        <f aca="false">(M95-K95)/K95</f>
        <v>#DIV/0!</v>
      </c>
    </row>
    <row r="96" customFormat="false" ht="12.75" hidden="false" customHeight="false" outlineLevel="0" collapsed="false">
      <c r="A96" s="501"/>
      <c r="B96" s="504" t="n">
        <f aca="false">'9.ENLLUME i SEMÀFORS'!A81</f>
        <v>0</v>
      </c>
      <c r="C96" s="505" t="n">
        <f aca="false">'9.ENLLUME i SEMÀFORS'!B81</f>
        <v>0</v>
      </c>
      <c r="D96" s="505" t="n">
        <f aca="false">'9.ENLLUME i SEMÀFORS'!D81</f>
        <v>0</v>
      </c>
      <c r="E96" s="505" t="n">
        <f aca="false">'9.ENLLUME i SEMÀFORS'!E81</f>
        <v>0</v>
      </c>
      <c r="F96" s="505" t="n">
        <f aca="false">'9.ENLLUME i SEMÀFORS'!F81</f>
        <v>0</v>
      </c>
      <c r="G96" s="508"/>
      <c r="H96" s="505" t="n">
        <f aca="false">'9.ENLLUME i SEMÀFORS'!G81</f>
        <v>0</v>
      </c>
      <c r="I96" s="505" t="n">
        <f aca="false">'9.ENLLUME i SEMÀFORS'!I81</f>
        <v>0</v>
      </c>
      <c r="J96" s="505" t="n">
        <f aca="false">'9.ENLLUME i SEMÀFORS'!K81</f>
        <v>0</v>
      </c>
      <c r="K96" s="507" t="e">
        <f aca="false">H96/G96</f>
        <v>#DIV/0!</v>
      </c>
      <c r="L96" s="507" t="e">
        <f aca="false">I96/G96</f>
        <v>#DIV/0!</v>
      </c>
      <c r="M96" s="507" t="e">
        <f aca="false">J96/G96</f>
        <v>#DIV/0!</v>
      </c>
      <c r="N96" s="497" t="e">
        <f aca="false">(M96-K96)/K96</f>
        <v>#DIV/0!</v>
      </c>
    </row>
    <row r="97" customFormat="false" ht="12.75" hidden="false" customHeight="false" outlineLevel="0" collapsed="false">
      <c r="A97" s="501"/>
      <c r="B97" s="504" t="n">
        <f aca="false">'9.ENLLUME i SEMÀFORS'!A82</f>
        <v>0</v>
      </c>
      <c r="C97" s="505" t="n">
        <f aca="false">'9.ENLLUME i SEMÀFORS'!B82</f>
        <v>0</v>
      </c>
      <c r="D97" s="505" t="n">
        <f aca="false">'9.ENLLUME i SEMÀFORS'!D82</f>
        <v>0</v>
      </c>
      <c r="E97" s="505" t="n">
        <f aca="false">'9.ENLLUME i SEMÀFORS'!E82</f>
        <v>0</v>
      </c>
      <c r="F97" s="505" t="n">
        <f aca="false">'9.ENLLUME i SEMÀFORS'!F82</f>
        <v>0</v>
      </c>
      <c r="G97" s="508"/>
      <c r="H97" s="505" t="n">
        <f aca="false">'9.ENLLUME i SEMÀFORS'!G82</f>
        <v>0</v>
      </c>
      <c r="I97" s="505" t="n">
        <f aca="false">'9.ENLLUME i SEMÀFORS'!I82</f>
        <v>0</v>
      </c>
      <c r="J97" s="505" t="n">
        <f aca="false">'9.ENLLUME i SEMÀFORS'!K82</f>
        <v>0</v>
      </c>
      <c r="K97" s="507" t="e">
        <f aca="false">H97/G97</f>
        <v>#DIV/0!</v>
      </c>
      <c r="L97" s="507" t="e">
        <f aca="false">I97/G97</f>
        <v>#DIV/0!</v>
      </c>
      <c r="M97" s="507" t="e">
        <f aca="false">J97/G97</f>
        <v>#DIV/0!</v>
      </c>
      <c r="N97" s="497" t="e">
        <f aca="false">(M97-K97)/K97</f>
        <v>#DIV/0!</v>
      </c>
    </row>
    <row r="98" customFormat="false" ht="12.75" hidden="false" customHeight="false" outlineLevel="0" collapsed="false">
      <c r="A98" s="501"/>
      <c r="B98" s="504" t="n">
        <f aca="false">'9.ENLLUME i SEMÀFORS'!A83</f>
        <v>0</v>
      </c>
      <c r="C98" s="505" t="n">
        <f aca="false">'9.ENLLUME i SEMÀFORS'!B83</f>
        <v>0</v>
      </c>
      <c r="D98" s="505" t="n">
        <f aca="false">'9.ENLLUME i SEMÀFORS'!D83</f>
        <v>0</v>
      </c>
      <c r="E98" s="505" t="n">
        <f aca="false">'9.ENLLUME i SEMÀFORS'!E83</f>
        <v>0</v>
      </c>
      <c r="F98" s="505" t="n">
        <f aca="false">'9.ENLLUME i SEMÀFORS'!F83</f>
        <v>0</v>
      </c>
      <c r="G98" s="508"/>
      <c r="H98" s="505" t="n">
        <f aca="false">'9.ENLLUME i SEMÀFORS'!G83</f>
        <v>0</v>
      </c>
      <c r="I98" s="505" t="n">
        <f aca="false">'9.ENLLUME i SEMÀFORS'!I83</f>
        <v>0</v>
      </c>
      <c r="J98" s="505" t="n">
        <f aca="false">'9.ENLLUME i SEMÀFORS'!K83</f>
        <v>0</v>
      </c>
      <c r="K98" s="507" t="e">
        <f aca="false">H98/G98</f>
        <v>#DIV/0!</v>
      </c>
      <c r="L98" s="507" t="e">
        <f aca="false">I98/G98</f>
        <v>#DIV/0!</v>
      </c>
      <c r="M98" s="507" t="e">
        <f aca="false">J98/G98</f>
        <v>#DIV/0!</v>
      </c>
      <c r="N98" s="497" t="e">
        <f aca="false">(M98-K98)/K98</f>
        <v>#DIV/0!</v>
      </c>
    </row>
    <row r="99" customFormat="false" ht="12.75" hidden="false" customHeight="false" outlineLevel="0" collapsed="false">
      <c r="A99" s="501"/>
      <c r="B99" s="504" t="n">
        <f aca="false">'9.ENLLUME i SEMÀFORS'!A84</f>
        <v>0</v>
      </c>
      <c r="C99" s="505" t="n">
        <f aca="false">'9.ENLLUME i SEMÀFORS'!B84</f>
        <v>0</v>
      </c>
      <c r="D99" s="505" t="n">
        <f aca="false">'9.ENLLUME i SEMÀFORS'!D84</f>
        <v>0</v>
      </c>
      <c r="E99" s="505" t="n">
        <f aca="false">'9.ENLLUME i SEMÀFORS'!E84</f>
        <v>0</v>
      </c>
      <c r="F99" s="505" t="n">
        <f aca="false">'9.ENLLUME i SEMÀFORS'!F84</f>
        <v>0</v>
      </c>
      <c r="G99" s="508"/>
      <c r="H99" s="505" t="n">
        <f aca="false">'9.ENLLUME i SEMÀFORS'!G84</f>
        <v>0</v>
      </c>
      <c r="I99" s="505" t="n">
        <f aca="false">'9.ENLLUME i SEMÀFORS'!I84</f>
        <v>0</v>
      </c>
      <c r="J99" s="505" t="n">
        <f aca="false">'9.ENLLUME i SEMÀFORS'!K84</f>
        <v>0</v>
      </c>
      <c r="K99" s="507" t="e">
        <f aca="false">H99/G99</f>
        <v>#DIV/0!</v>
      </c>
      <c r="L99" s="507" t="e">
        <f aca="false">I99/G99</f>
        <v>#DIV/0!</v>
      </c>
      <c r="M99" s="507" t="e">
        <f aca="false">J99/G99</f>
        <v>#DIV/0!</v>
      </c>
      <c r="N99" s="497" t="e">
        <f aca="false">(M99-K99)/K99</f>
        <v>#DIV/0!</v>
      </c>
    </row>
    <row r="100" customFormat="false" ht="12.75" hidden="false" customHeight="false" outlineLevel="0" collapsed="false">
      <c r="A100" s="501"/>
      <c r="B100" s="504" t="n">
        <f aca="false">'9.ENLLUME i SEMÀFORS'!A85</f>
        <v>0</v>
      </c>
      <c r="C100" s="505" t="n">
        <f aca="false">'9.ENLLUME i SEMÀFORS'!B85</f>
        <v>0</v>
      </c>
      <c r="D100" s="505" t="n">
        <f aca="false">'9.ENLLUME i SEMÀFORS'!D85</f>
        <v>0</v>
      </c>
      <c r="E100" s="505" t="n">
        <f aca="false">'9.ENLLUME i SEMÀFORS'!E85</f>
        <v>0</v>
      </c>
      <c r="F100" s="505" t="n">
        <f aca="false">'9.ENLLUME i SEMÀFORS'!F85</f>
        <v>0</v>
      </c>
      <c r="G100" s="508"/>
      <c r="H100" s="505" t="n">
        <f aca="false">'9.ENLLUME i SEMÀFORS'!G85</f>
        <v>0</v>
      </c>
      <c r="I100" s="505" t="n">
        <f aca="false">'9.ENLLUME i SEMÀFORS'!I85</f>
        <v>0</v>
      </c>
      <c r="J100" s="505" t="n">
        <f aca="false">'9.ENLLUME i SEMÀFORS'!K85</f>
        <v>0</v>
      </c>
      <c r="K100" s="507" t="e">
        <f aca="false">H100/G100</f>
        <v>#DIV/0!</v>
      </c>
      <c r="L100" s="507" t="e">
        <f aca="false">I100/G100</f>
        <v>#DIV/0!</v>
      </c>
      <c r="M100" s="507" t="e">
        <f aca="false">J100/G100</f>
        <v>#DIV/0!</v>
      </c>
      <c r="N100" s="497" t="e">
        <f aca="false">(M100-K100)/K100</f>
        <v>#DIV/0!</v>
      </c>
    </row>
  </sheetData>
  <mergeCells count="9">
    <mergeCell ref="F3:H3"/>
    <mergeCell ref="I3:J3"/>
    <mergeCell ref="K3:L3"/>
    <mergeCell ref="M3:N3"/>
    <mergeCell ref="O3:P3"/>
    <mergeCell ref="Q3:Q4"/>
    <mergeCell ref="H32:J32"/>
    <mergeCell ref="K32:M32"/>
    <mergeCell ref="G34:G64"/>
  </mergeCells>
  <conditionalFormatting sqref="O5:P29">
    <cfRule type="cellIs" priority="2" operator="lessThan" aboveAverage="0" equalAverage="0" bottom="0" percent="0" rank="0" text="" dxfId="0">
      <formula>0</formula>
    </cfRule>
    <cfRule type="cellIs" priority="3" operator="greaterThan" aboveAverage="0" equalAverage="0" bottom="0" percent="0" rank="0" text="" dxfId="1">
      <formula>0</formula>
    </cfRule>
  </conditionalFormatting>
  <conditionalFormatting sqref="N34:N100">
    <cfRule type="cellIs" priority="4" operator="lessThan" aboveAverage="0" equalAverage="0" bottom="0" percent="0" rank="0" text="" dxfId="2">
      <formula>0</formula>
    </cfRule>
    <cfRule type="cellIs" priority="5" operator="greaterThan" aboveAverage="0" equalAverage="0" bottom="0" percent="0" rank="0" text="" dxfId="3">
      <formula>0</formula>
    </cfRule>
    <cfRule type="cellIs" priority="6" operator="lessThan" aboveAverage="0" equalAverage="0" bottom="0" percent="0" rank="0" text="" dxfId="4">
      <formula>0</formula>
    </cfRule>
    <cfRule type="cellIs" priority="7" operator="greaterThan" aboveAverage="0" equalAverage="0" bottom="0" percent="0" rank="0" text="" dxfId="5">
      <formula>0</formula>
    </cfRule>
  </conditionalFormatting>
  <conditionalFormatting sqref="Q5:Q60">
    <cfRule type="cellIs" priority="8" operator="lessThan" aboveAverage="0" equalAverage="0" bottom="0" percent="0" rank="0" text="" dxfId="6">
      <formula>0</formula>
    </cfRule>
    <cfRule type="cellIs" priority="9" operator="greaterThan" aboveAverage="0" equalAverage="0" bottom="0" percent="0" rank="0" text="" dxfId="7">
      <formula>0</formula>
    </cfRule>
    <cfRule type="cellIs" priority="10" operator="lessThan" aboveAverage="0" equalAverage="0" bottom="0" percent="0" rank="0" text="" dxfId="8">
      <formula>0</formula>
    </cfRule>
    <cfRule type="cellIs" priority="11" operator="greaterThan" aboveAverage="0" equalAverage="0" bottom="0" percent="0" rank="0" text="" dxfId="9">
      <formula>0</formula>
    </cfRule>
  </conditionalFormatting>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sheetPr filterMode="false">
    <tabColor rgb="FFFF0000"/>
    <pageSetUpPr fitToPage="false"/>
  </sheetPr>
  <dimension ref="B1:K4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30" activeCellId="0" sqref="L30"/>
    </sheetView>
  </sheetViews>
  <sheetFormatPr defaultRowHeight="12.75"/>
  <cols>
    <col collapsed="false" hidden="false" max="1" min="1" style="0" width="1.21428571428571"/>
    <col collapsed="false" hidden="false" max="2" min="2" style="0" width="10.530612244898"/>
    <col collapsed="false" hidden="false" max="3" min="3" style="0" width="40.2295918367347"/>
    <col collapsed="false" hidden="false" max="1025" min="4" style="0" width="10.530612244898"/>
  </cols>
  <sheetData>
    <row r="1" customFormat="false" ht="12.75" hidden="false" customHeight="false" outlineLevel="0" collapsed="false">
      <c r="B1" s="509" t="s">
        <v>834</v>
      </c>
      <c r="C1" s="509"/>
    </row>
    <row r="2" customFormat="false" ht="13.5" hidden="false" customHeight="false" outlineLevel="0" collapsed="false"/>
    <row r="3" customFormat="false" ht="12.75" hidden="false" customHeight="false" outlineLevel="0" collapsed="false">
      <c r="D3" s="510" t="n">
        <v>2005</v>
      </c>
      <c r="E3" s="511" t="n">
        <v>2007</v>
      </c>
    </row>
    <row r="4" customFormat="false" ht="12.75" hidden="false" customHeight="false" outlineLevel="0" collapsed="false">
      <c r="C4" s="512" t="s">
        <v>835</v>
      </c>
      <c r="D4" s="513" t="n">
        <v>3222</v>
      </c>
      <c r="E4" s="513" t="n">
        <v>3379</v>
      </c>
    </row>
    <row r="5" customFormat="false" ht="13.5" hidden="false" customHeight="false" outlineLevel="0" collapsed="false"/>
    <row r="6" customFormat="false" ht="14.25" hidden="false" customHeight="true" outlineLevel="0" collapsed="false">
      <c r="B6" s="514" t="s">
        <v>836</v>
      </c>
      <c r="C6" s="514"/>
      <c r="D6" s="515" t="s">
        <v>837</v>
      </c>
      <c r="E6" s="515"/>
      <c r="F6" s="516" t="s">
        <v>838</v>
      </c>
      <c r="G6" s="515" t="s">
        <v>839</v>
      </c>
      <c r="H6" s="515"/>
      <c r="I6" s="517" t="s">
        <v>840</v>
      </c>
    </row>
    <row r="7" customFormat="false" ht="13.5" hidden="false" customHeight="false" outlineLevel="0" collapsed="false">
      <c r="B7" s="514"/>
      <c r="C7" s="514"/>
      <c r="D7" s="518" t="n">
        <v>2005</v>
      </c>
      <c r="E7" s="519" t="n">
        <v>2007</v>
      </c>
      <c r="F7" s="516"/>
      <c r="G7" s="520" t="n">
        <v>2005</v>
      </c>
      <c r="H7" s="520" t="n">
        <v>2007</v>
      </c>
      <c r="I7" s="517"/>
    </row>
    <row r="8" customFormat="false" ht="13.5" hidden="false" customHeight="true" outlineLevel="0" collapsed="false">
      <c r="B8" s="521" t="s">
        <v>402</v>
      </c>
      <c r="C8" s="521"/>
      <c r="D8" s="522" t="e">
        <f aca="false">'4.cl'!#ref!</f>
        <v>#VALUE!</v>
      </c>
      <c r="E8" s="522" t="e">
        <f aca="false">'4.cl'!#ref!</f>
        <v>#VALUE!</v>
      </c>
      <c r="F8" s="523" t="e">
        <f aca="false">(E8-D8)/D8</f>
        <v>#VALUE!</v>
      </c>
      <c r="G8" s="524" t="s">
        <v>86</v>
      </c>
      <c r="H8" s="524" t="s">
        <v>86</v>
      </c>
      <c r="I8" s="524" t="s">
        <v>86</v>
      </c>
    </row>
    <row r="9" customFormat="false" ht="15.75" hidden="false" customHeight="true" outlineLevel="0" collapsed="false">
      <c r="B9" s="525" t="s">
        <v>841</v>
      </c>
      <c r="C9" s="525"/>
      <c r="D9" s="526"/>
      <c r="E9" s="526"/>
      <c r="F9" s="527"/>
      <c r="G9" s="527"/>
      <c r="H9" s="528"/>
      <c r="I9" s="528"/>
    </row>
    <row r="10" customFormat="false" ht="13.5" hidden="false" customHeight="true" outlineLevel="0" collapsed="false">
      <c r="B10" s="529" t="s">
        <v>842</v>
      </c>
      <c r="C10" s="529"/>
      <c r="D10" s="530" t="n">
        <f aca="false">'T. MUNICIPI'!T70</f>
        <v>0</v>
      </c>
      <c r="E10" s="530" t="n">
        <f aca="false">'T. MUNICIPI'!V70</f>
        <v>0</v>
      </c>
      <c r="F10" s="531" t="e">
        <f aca="false">(E10-D10)/D10</f>
        <v>#DIV/0!</v>
      </c>
      <c r="G10" s="532" t="e">
        <f aca="false">D10/D8</f>
        <v>#VALUE!</v>
      </c>
      <c r="H10" s="532" t="e">
        <f aca="false">E10/E8</f>
        <v>#VALUE!</v>
      </c>
      <c r="I10" s="531" t="e">
        <f aca="false">(H10-G10)/G10</f>
        <v>#VALUE!</v>
      </c>
    </row>
    <row r="11" customFormat="false" ht="15.75" hidden="false" customHeight="true" outlineLevel="0" collapsed="false">
      <c r="B11" s="533" t="s">
        <v>648</v>
      </c>
      <c r="C11" s="533"/>
      <c r="D11" s="526"/>
      <c r="E11" s="526"/>
      <c r="F11" s="527"/>
      <c r="G11" s="534"/>
      <c r="H11" s="535"/>
      <c r="I11" s="528"/>
    </row>
    <row r="12" customFormat="false" ht="13.5" hidden="false" customHeight="true" outlineLevel="0" collapsed="false">
      <c r="B12" s="536" t="s">
        <v>843</v>
      </c>
      <c r="C12" s="537" t="s">
        <v>41</v>
      </c>
      <c r="D12" s="538" t="e">
        <f aca="false">'t. paes'!#ref!</f>
        <v>#VALUE!</v>
      </c>
      <c r="E12" s="538" t="e">
        <f aca="false">'t. paes'!#ref!</f>
        <v>#VALUE!</v>
      </c>
      <c r="F12" s="523" t="e">
        <f aca="false">(E12-D12)/D12</f>
        <v>#VALUE!</v>
      </c>
      <c r="G12" s="539" t="e">
        <f aca="false">D12/$D$8</f>
        <v>#VALUE!</v>
      </c>
      <c r="H12" s="539" t="e">
        <f aca="false">E12/$E$8</f>
        <v>#VALUE!</v>
      </c>
      <c r="I12" s="523" t="e">
        <f aca="false">(H12-G12)/G12</f>
        <v>#VALUE!</v>
      </c>
    </row>
    <row r="13" customFormat="false" ht="13.5" hidden="false" customHeight="false" outlineLevel="0" collapsed="false">
      <c r="B13" s="536"/>
      <c r="C13" s="537" t="s">
        <v>116</v>
      </c>
      <c r="D13" s="538" t="e">
        <f aca="false">'t. paes'!#ref!</f>
        <v>#VALUE!</v>
      </c>
      <c r="E13" s="538" t="e">
        <f aca="false">+'t. paes'!#ref!</f>
        <v>#VALUE!</v>
      </c>
      <c r="F13" s="523" t="e">
        <f aca="false">(E13-D13)/D13</f>
        <v>#VALUE!</v>
      </c>
      <c r="G13" s="539" t="e">
        <f aca="false">D13/$D$8</f>
        <v>#VALUE!</v>
      </c>
      <c r="H13" s="539" t="e">
        <f aca="false">E13/$E$8</f>
        <v>#VALUE!</v>
      </c>
      <c r="I13" s="523" t="e">
        <f aca="false">(H13-G13)/G13</f>
        <v>#VALUE!</v>
      </c>
    </row>
    <row r="14" customFormat="false" ht="13.5" hidden="false" customHeight="false" outlineLevel="0" collapsed="false">
      <c r="B14" s="536"/>
      <c r="C14" s="537" t="s">
        <v>60</v>
      </c>
      <c r="D14" s="538" t="e">
        <f aca="false">'t. paes'!#ref!</f>
        <v>#VALUE!</v>
      </c>
      <c r="E14" s="538" t="e">
        <f aca="false">'t. paes'!#ref!</f>
        <v>#VALUE!</v>
      </c>
      <c r="F14" s="523" t="e">
        <f aca="false">(E14-D14)/D14</f>
        <v>#VALUE!</v>
      </c>
      <c r="G14" s="539" t="e">
        <f aca="false">D14/$D$8</f>
        <v>#VALUE!</v>
      </c>
      <c r="H14" s="539" t="e">
        <f aca="false">E14/$E$8</f>
        <v>#VALUE!</v>
      </c>
      <c r="I14" s="523" t="e">
        <f aca="false">(H14-G14)/G14</f>
        <v>#VALUE!</v>
      </c>
    </row>
    <row r="15" customFormat="false" ht="13.5" hidden="false" customHeight="false" outlineLevel="0" collapsed="false">
      <c r="B15" s="536"/>
      <c r="C15" s="540" t="s">
        <v>53</v>
      </c>
      <c r="D15" s="541" t="e">
        <f aca="false">'t. paes'!#ref!</f>
        <v>#VALUE!</v>
      </c>
      <c r="E15" s="541" t="e">
        <f aca="false">'t. paes'!#ref!</f>
        <v>#VALUE!</v>
      </c>
      <c r="F15" s="542" t="e">
        <f aca="false">(E15-D15)/D15</f>
        <v>#VALUE!</v>
      </c>
      <c r="G15" s="543" t="e">
        <f aca="false">D15/$D$8</f>
        <v>#VALUE!</v>
      </c>
      <c r="H15" s="543" t="e">
        <f aca="false">E15/$E$8</f>
        <v>#VALUE!</v>
      </c>
      <c r="I15" s="523" t="e">
        <f aca="false">(H15-G15)/G15</f>
        <v>#VALUE!</v>
      </c>
    </row>
    <row r="16" customFormat="false" ht="14.25" hidden="false" customHeight="true" outlineLevel="0" collapsed="false">
      <c r="B16" s="544" t="s">
        <v>844</v>
      </c>
      <c r="C16" s="537" t="s">
        <v>42</v>
      </c>
      <c r="D16" s="538" t="e">
        <f aca="false">'t. paes'!#ref!</f>
        <v>#VALUE!</v>
      </c>
      <c r="E16" s="538" t="e">
        <f aca="false">'t. paes'!#ref!</f>
        <v>#VALUE!</v>
      </c>
      <c r="F16" s="523" t="e">
        <f aca="false">(E16-D16)/D16</f>
        <v>#VALUE!</v>
      </c>
      <c r="G16" s="539" t="e">
        <f aca="false">D16/$D$8</f>
        <v>#VALUE!</v>
      </c>
      <c r="H16" s="539" t="e">
        <f aca="false">E16/$E$8</f>
        <v>#VALUE!</v>
      </c>
      <c r="I16" s="523" t="e">
        <f aca="false">(H16-G16)/G16</f>
        <v>#VALUE!</v>
      </c>
    </row>
    <row r="17" customFormat="false" ht="13.5" hidden="false" customHeight="false" outlineLevel="0" collapsed="false">
      <c r="B17" s="544"/>
      <c r="C17" s="537" t="s">
        <v>49</v>
      </c>
      <c r="D17" s="538" t="e">
        <f aca="false">'t. paes'!#ref!</f>
        <v>#VALUE!</v>
      </c>
      <c r="E17" s="538" t="e">
        <f aca="false">'t. paes'!#ref!</f>
        <v>#VALUE!</v>
      </c>
      <c r="F17" s="523" t="e">
        <f aca="false">(E17-D17)/D17</f>
        <v>#VALUE!</v>
      </c>
      <c r="G17" s="539" t="e">
        <f aca="false">D17/$D$8</f>
        <v>#VALUE!</v>
      </c>
      <c r="H17" s="539" t="e">
        <f aca="false">E17/$E$8</f>
        <v>#VALUE!</v>
      </c>
      <c r="I17" s="523" t="e">
        <f aca="false">(H17-G17)/G17</f>
        <v>#VALUE!</v>
      </c>
    </row>
    <row r="18" customFormat="false" ht="13.5" hidden="false" customHeight="false" outlineLevel="0" collapsed="false">
      <c r="B18" s="544"/>
      <c r="C18" s="537" t="s">
        <v>44</v>
      </c>
      <c r="D18" s="538" t="e">
        <f aca="false">'t. paes'!#ref!</f>
        <v>#VALUE!</v>
      </c>
      <c r="E18" s="538" t="e">
        <f aca="false">'t. paes'!#ref!</f>
        <v>#VALUE!</v>
      </c>
      <c r="F18" s="523" t="e">
        <f aca="false">(E18-D18)/D18</f>
        <v>#VALUE!</v>
      </c>
      <c r="G18" s="539" t="e">
        <f aca="false">D18/$D$8</f>
        <v>#VALUE!</v>
      </c>
      <c r="H18" s="539" t="e">
        <f aca="false">E18/$E$8</f>
        <v>#VALUE!</v>
      </c>
      <c r="I18" s="523" t="e">
        <f aca="false">(H18-G18)/G18</f>
        <v>#VALUE!</v>
      </c>
    </row>
    <row r="19" customFormat="false" ht="13.5" hidden="false" customHeight="false" outlineLevel="0" collapsed="false">
      <c r="B19" s="544"/>
      <c r="C19" s="537" t="s">
        <v>73</v>
      </c>
      <c r="D19" s="538" t="e">
        <f aca="false">'t. paes'!#ref!</f>
        <v>#VALUE!</v>
      </c>
      <c r="E19" s="538" t="e">
        <f aca="false">'t. paes'!#ref!</f>
        <v>#VALUE!</v>
      </c>
      <c r="F19" s="523" t="e">
        <f aca="false">(E19-D19)/D19</f>
        <v>#VALUE!</v>
      </c>
      <c r="G19" s="539" t="e">
        <f aca="false">D19/$D$8</f>
        <v>#VALUE!</v>
      </c>
      <c r="H19" s="539" t="e">
        <f aca="false">E19/$E$8</f>
        <v>#VALUE!</v>
      </c>
      <c r="I19" s="523" t="e">
        <f aca="false">(H19-G19)/G19</f>
        <v>#VALUE!</v>
      </c>
    </row>
    <row r="20" customFormat="false" ht="13.5" hidden="false" customHeight="false" outlineLevel="0" collapsed="false">
      <c r="B20" s="544"/>
      <c r="C20" s="537" t="s">
        <v>845</v>
      </c>
      <c r="D20" s="541" t="e">
        <f aca="false">'t. paes'!#ref!</f>
        <v>#VALUE!</v>
      </c>
      <c r="E20" s="541" t="e">
        <f aca="false">'t. paes'!#ref!</f>
        <v>#VALUE!</v>
      </c>
      <c r="F20" s="542" t="e">
        <f aca="false">(E20-D20)/D20</f>
        <v>#VALUE!</v>
      </c>
      <c r="G20" s="543" t="e">
        <f aca="false">D20/$D$8</f>
        <v>#VALUE!</v>
      </c>
      <c r="H20" s="543" t="e">
        <f aca="false">E20/$E$8</f>
        <v>#VALUE!</v>
      </c>
      <c r="I20" s="523" t="e">
        <f aca="false">(H20-G20)/G20</f>
        <v>#VALUE!</v>
      </c>
    </row>
    <row r="21" customFormat="false" ht="14.25" hidden="false" customHeight="true" outlineLevel="0" collapsed="false">
      <c r="B21" s="545" t="s">
        <v>846</v>
      </c>
      <c r="C21" s="545"/>
      <c r="D21" s="546" t="e">
        <f aca="false">SUM(D16:D20)</f>
        <v>#VALUE!</v>
      </c>
      <c r="E21" s="546" t="e">
        <f aca="false">SUM(E16:E20)</f>
        <v>#VALUE!</v>
      </c>
      <c r="F21" s="531" t="e">
        <f aca="false">(E21-D21)/D21</f>
        <v>#VALUE!</v>
      </c>
      <c r="G21" s="547" t="e">
        <f aca="false">D21/D8</f>
        <v>#VALUE!</v>
      </c>
      <c r="H21" s="547" t="e">
        <f aca="false">E21/E8</f>
        <v>#VALUE!</v>
      </c>
      <c r="I21" s="531" t="e">
        <f aca="false">(H21-G21)/G21</f>
        <v>#VALUE!</v>
      </c>
      <c r="K21" s="548"/>
    </row>
    <row r="22" customFormat="false" ht="14.25" hidden="false" customHeight="true" outlineLevel="0" collapsed="false">
      <c r="B22" s="549" t="s">
        <v>847</v>
      </c>
      <c r="C22" s="549"/>
      <c r="D22" s="531" t="e">
        <f aca="false">D21/D10</f>
        <v>#VALUE!</v>
      </c>
      <c r="E22" s="531" t="e">
        <f aca="false">E21/E10</f>
        <v>#VALUE!</v>
      </c>
      <c r="F22" s="550" t="s">
        <v>86</v>
      </c>
      <c r="G22" s="551" t="s">
        <v>86</v>
      </c>
      <c r="H22" s="551" t="s">
        <v>86</v>
      </c>
      <c r="I22" s="550" t="s">
        <v>86</v>
      </c>
    </row>
    <row r="23" customFormat="false" ht="15.75" hidden="false" customHeight="true" outlineLevel="0" collapsed="false">
      <c r="B23" s="525" t="s">
        <v>848</v>
      </c>
      <c r="C23" s="525"/>
      <c r="D23" s="526"/>
      <c r="E23" s="526"/>
      <c r="F23" s="552"/>
      <c r="G23" s="553"/>
      <c r="H23" s="553"/>
      <c r="I23" s="553"/>
    </row>
    <row r="24" customFormat="false" ht="13.5" hidden="false" customHeight="true" outlineLevel="0" collapsed="false">
      <c r="B24" s="554" t="s">
        <v>735</v>
      </c>
      <c r="C24" s="554"/>
      <c r="D24" s="538" t="e">
        <f aca="false">+#REF!</f>
        <v>#REF!</v>
      </c>
      <c r="E24" s="538" t="e">
        <f aca="false">#REF!</f>
        <v>#REF!</v>
      </c>
      <c r="F24" s="523" t="e">
        <f aca="false">(E24-D24)/D24</f>
        <v>#REF!</v>
      </c>
      <c r="G24" s="555" t="e">
        <f aca="false">D24/#REF!</f>
        <v>#REF!</v>
      </c>
      <c r="H24" s="555" t="e">
        <f aca="false">E24/#REF!</f>
        <v>#REF!</v>
      </c>
      <c r="I24" s="523" t="e">
        <f aca="false">(H24-G24)/G24</f>
        <v>#REF!</v>
      </c>
    </row>
    <row r="25" customFormat="false" ht="13.5" hidden="false" customHeight="true" outlineLevel="0" collapsed="false">
      <c r="B25" s="554" t="s">
        <v>849</v>
      </c>
      <c r="C25" s="554"/>
      <c r="D25" s="538" t="e">
        <f aca="false">#REF!+#REF!</f>
        <v>#REF!</v>
      </c>
      <c r="E25" s="538" t="e">
        <f aca="false">#REF!+#REF!</f>
        <v>#REF!</v>
      </c>
      <c r="F25" s="523" t="e">
        <f aca="false">(E25-D25)/D25</f>
        <v>#REF!</v>
      </c>
      <c r="G25" s="556" t="e">
        <f aca="false">D25/$D$8</f>
        <v>#REF!</v>
      </c>
      <c r="H25" s="556" t="e">
        <f aca="false">E25/$E$8</f>
        <v>#REF!</v>
      </c>
      <c r="I25" s="523" t="e">
        <f aca="false">(H25-G25)/G25</f>
        <v>#REF!</v>
      </c>
    </row>
    <row r="26" customFormat="false" ht="13.5" hidden="false" customHeight="true" outlineLevel="0" collapsed="false">
      <c r="B26" s="554" t="s">
        <v>850</v>
      </c>
      <c r="C26" s="554"/>
      <c r="D26" s="538" t="e">
        <f aca="false">#REF!+#REF!+#REF!</f>
        <v>#REF!</v>
      </c>
      <c r="E26" s="538" t="e">
        <f aca="false">#REF!+#REF!+#REF!</f>
        <v>#REF!</v>
      </c>
      <c r="F26" s="523" t="e">
        <f aca="false">(E26-D26)/D26</f>
        <v>#REF!</v>
      </c>
      <c r="G26" s="556" t="e">
        <f aca="false">D26/$D$8</f>
        <v>#REF!</v>
      </c>
      <c r="H26" s="556" t="e">
        <f aca="false">E26/$E$8</f>
        <v>#REF!</v>
      </c>
      <c r="I26" s="523" t="e">
        <f aca="false">(H26-G26)/G26</f>
        <v>#REF!</v>
      </c>
    </row>
    <row r="27" customFormat="false" ht="13.5" hidden="false" customHeight="true" outlineLevel="0" collapsed="false">
      <c r="B27" s="557" t="s">
        <v>851</v>
      </c>
      <c r="C27" s="557"/>
      <c r="D27" s="541" t="e">
        <f aca="false">+#REF!</f>
        <v>#REF!</v>
      </c>
      <c r="E27" s="541" t="e">
        <f aca="false">+#REF!</f>
        <v>#REF!</v>
      </c>
      <c r="F27" s="542" t="e">
        <f aca="false">(E27-D27)/D27</f>
        <v>#REF!</v>
      </c>
      <c r="G27" s="558" t="e">
        <f aca="false">D27/$D$8</f>
        <v>#REF!</v>
      </c>
      <c r="H27" s="558" t="e">
        <f aca="false">E27/$E$8</f>
        <v>#REF!</v>
      </c>
      <c r="I27" s="542" t="e">
        <f aca="false">(H27-G27)/G27</f>
        <v>#REF!</v>
      </c>
    </row>
    <row r="28" customFormat="false" ht="14.25" hidden="false" customHeight="true" outlineLevel="0" collapsed="false">
      <c r="B28" s="545" t="s">
        <v>852</v>
      </c>
      <c r="C28" s="545"/>
      <c r="D28" s="559" t="e">
        <f aca="false">SUM(D24:D27)</f>
        <v>#REF!</v>
      </c>
      <c r="E28" s="559" t="e">
        <f aca="false">SUM(E24:E27)</f>
        <v>#REF!</v>
      </c>
      <c r="F28" s="560" t="e">
        <f aca="false">(E28-D28)/D28</f>
        <v>#REF!</v>
      </c>
      <c r="G28" s="561" t="e">
        <f aca="false">D28/D8</f>
        <v>#REF!</v>
      </c>
      <c r="H28" s="561" t="e">
        <f aca="false">E28/E8</f>
        <v>#REF!</v>
      </c>
      <c r="I28" s="560" t="e">
        <f aca="false">(H28-G28)/G28</f>
        <v>#REF!</v>
      </c>
    </row>
    <row r="29" customFormat="false" ht="16.5" hidden="false" customHeight="true" outlineLevel="0" collapsed="false">
      <c r="B29" s="562" t="s">
        <v>853</v>
      </c>
      <c r="C29" s="562"/>
      <c r="D29" s="531" t="e">
        <f aca="false">D28/D21</f>
        <v>#REF!</v>
      </c>
      <c r="E29" s="531" t="e">
        <f aca="false">E28/E21</f>
        <v>#REF!</v>
      </c>
      <c r="F29" s="550" t="s">
        <v>86</v>
      </c>
      <c r="G29" s="563" t="s">
        <v>86</v>
      </c>
      <c r="H29" s="550" t="s">
        <v>86</v>
      </c>
      <c r="I29" s="550" t="s">
        <v>86</v>
      </c>
    </row>
    <row r="32" customFormat="false" ht="45" hidden="false" customHeight="false" outlineLevel="0" collapsed="false">
      <c r="B32" s="564" t="s">
        <v>854</v>
      </c>
    </row>
    <row r="33" customFormat="false" ht="45" hidden="false" customHeight="false" outlineLevel="0" collapsed="false">
      <c r="B33" s="564" t="s">
        <v>855</v>
      </c>
    </row>
    <row r="35" customFormat="false" ht="12.75" hidden="false" customHeight="false" outlineLevel="0" collapsed="false">
      <c r="C35" s="565"/>
      <c r="D35" s="565" t="n">
        <v>2005</v>
      </c>
      <c r="E35" s="565" t="n">
        <v>2007</v>
      </c>
    </row>
    <row r="36" customFormat="false" ht="12.75" hidden="false" customHeight="false" outlineLevel="0" collapsed="false">
      <c r="C36" s="565" t="s">
        <v>662</v>
      </c>
      <c r="D36" s="566" t="e">
        <f aca="false">D16</f>
        <v>#VALUE!</v>
      </c>
      <c r="E36" s="566" t="e">
        <f aca="false">E16</f>
        <v>#VALUE!</v>
      </c>
    </row>
    <row r="37" customFormat="false" ht="12.75" hidden="false" customHeight="false" outlineLevel="0" collapsed="false">
      <c r="C37" s="565" t="s">
        <v>656</v>
      </c>
      <c r="D37" s="566" t="e">
        <f aca="false">D17-D41-D42</f>
        <v>#VALUE!</v>
      </c>
      <c r="E37" s="566" t="e">
        <f aca="false">E17-E41-E42</f>
        <v>#VALUE!</v>
      </c>
    </row>
    <row r="38" customFormat="false" ht="12.75" hidden="false" customHeight="false" outlineLevel="0" collapsed="false">
      <c r="C38" s="565" t="s">
        <v>675</v>
      </c>
      <c r="D38" s="566" t="e">
        <f aca="false">D18-D43-D44</f>
        <v>#VALUE!</v>
      </c>
      <c r="E38" s="566" t="e">
        <f aca="false">E18-E43-E44</f>
        <v>#VALUE!</v>
      </c>
    </row>
    <row r="39" customFormat="false" ht="12.75" hidden="false" customHeight="false" outlineLevel="0" collapsed="false">
      <c r="C39" s="565" t="s">
        <v>856</v>
      </c>
      <c r="D39" s="566" t="e">
        <f aca="false">D19</f>
        <v>#VALUE!</v>
      </c>
      <c r="E39" s="566" t="e">
        <f aca="false">E19</f>
        <v>#VALUE!</v>
      </c>
    </row>
    <row r="40" customFormat="false" ht="12.75" hidden="false" customHeight="false" outlineLevel="0" collapsed="false">
      <c r="C40" s="565" t="str">
        <f aca="false">C20</f>
        <v>Cicle de l’aigua</v>
      </c>
      <c r="D40" s="566" t="e">
        <f aca="false">D20-D45</f>
        <v>#VALUE!</v>
      </c>
      <c r="E40" s="566" t="e">
        <f aca="false">E20-E45</f>
        <v>#VALUE!</v>
      </c>
    </row>
    <row r="41" customFormat="false" ht="12.75" hidden="false" customHeight="false" outlineLevel="0" collapsed="false">
      <c r="C41" s="566" t="s">
        <v>857</v>
      </c>
      <c r="D41" s="566" t="e">
        <f aca="false">D24</f>
        <v>#REF!</v>
      </c>
      <c r="E41" s="566" t="e">
        <f aca="false">E24</f>
        <v>#REF!</v>
      </c>
    </row>
    <row r="42" customFormat="false" ht="12.75" hidden="false" customHeight="false" outlineLevel="0" collapsed="false">
      <c r="C42" s="566" t="s">
        <v>733</v>
      </c>
      <c r="D42" s="566" t="e">
        <f aca="false">D25</f>
        <v>#REF!</v>
      </c>
      <c r="E42" s="566" t="e">
        <f aca="false">E25</f>
        <v>#REF!</v>
      </c>
    </row>
    <row r="43" customFormat="false" ht="12.75" hidden="false" customHeight="false" outlineLevel="0" collapsed="false">
      <c r="C43" s="565" t="s">
        <v>858</v>
      </c>
      <c r="D43" s="566" t="e">
        <f aca="false">#REF!</f>
        <v>#REF!</v>
      </c>
      <c r="E43" s="566" t="e">
        <f aca="false">#REF!</f>
        <v>#REF!</v>
      </c>
    </row>
    <row r="44" customFormat="false" ht="12.75" hidden="false" customHeight="false" outlineLevel="0" collapsed="false">
      <c r="C44" s="565" t="s">
        <v>859</v>
      </c>
      <c r="D44" s="566" t="e">
        <f aca="false">#REF!</f>
        <v>#REF!</v>
      </c>
      <c r="E44" s="566" t="e">
        <f aca="false">#REF!</f>
        <v>#REF!</v>
      </c>
    </row>
    <row r="45" customFormat="false" ht="12.75" hidden="false" customHeight="false" outlineLevel="0" collapsed="false">
      <c r="C45" s="565" t="s">
        <v>290</v>
      </c>
      <c r="D45" s="566" t="e">
        <f aca="false">#REF!</f>
        <v>#REF!</v>
      </c>
      <c r="E45" s="566" t="e">
        <f aca="false">#REF!</f>
        <v>#REF!</v>
      </c>
    </row>
  </sheetData>
  <mergeCells count="20">
    <mergeCell ref="B6:C7"/>
    <mergeCell ref="D6:E6"/>
    <mergeCell ref="F6:F7"/>
    <mergeCell ref="G6:H6"/>
    <mergeCell ref="I6:I7"/>
    <mergeCell ref="B8:C8"/>
    <mergeCell ref="B9:C9"/>
    <mergeCell ref="B10:C10"/>
    <mergeCell ref="B11:C11"/>
    <mergeCell ref="B12:B15"/>
    <mergeCell ref="B16:B20"/>
    <mergeCell ref="B21:C21"/>
    <mergeCell ref="B22:C22"/>
    <mergeCell ref="B23:C23"/>
    <mergeCell ref="B24:C24"/>
    <mergeCell ref="B25:C25"/>
    <mergeCell ref="B26:C26"/>
    <mergeCell ref="B27:C27"/>
    <mergeCell ref="B28:C28"/>
    <mergeCell ref="B29:C29"/>
  </mergeCells>
  <hyperlinks>
    <hyperlink ref="B32" location="_ftnref1" display="[1] Inclou el tractament i el transport."/>
    <hyperlink ref="B33" location="_ftnref2" display="[2] No inclou el transport de residus."/>
  </hyperlink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4.xml><?xml version="1.0" encoding="utf-8"?>
<worksheet xmlns="http://schemas.openxmlformats.org/spreadsheetml/2006/main" xmlns:r="http://schemas.openxmlformats.org/officeDocument/2006/relationships">
  <sheetPr filterMode="false">
    <tabColor rgb="FFFF0000"/>
    <pageSetUpPr fitToPage="false"/>
  </sheetPr>
  <dimension ref="A1:H16"/>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1" activeCellId="0" sqref="K21"/>
    </sheetView>
  </sheetViews>
  <sheetFormatPr defaultRowHeight="18.75"/>
  <cols>
    <col collapsed="false" hidden="false" max="1" min="1" style="567" width="11.2040816326531"/>
    <col collapsed="false" hidden="false" max="2" min="2" style="567" width="21.0612244897959"/>
    <col collapsed="false" hidden="false" max="1025" min="3" style="567" width="11.2040816326531"/>
  </cols>
  <sheetData>
    <row r="1" customFormat="false" ht="18.75" hidden="false" customHeight="true" outlineLevel="0" collapsed="false">
      <c r="A1" s="509" t="s">
        <v>834</v>
      </c>
    </row>
    <row r="3" customFormat="false" ht="18.75" hidden="false" customHeight="true" outlineLevel="0" collapsed="false">
      <c r="A3" s="568" t="s">
        <v>860</v>
      </c>
      <c r="B3" s="568"/>
      <c r="C3" s="569" t="s">
        <v>625</v>
      </c>
      <c r="D3" s="569"/>
      <c r="E3" s="569" t="s">
        <v>840</v>
      </c>
      <c r="F3" s="569" t="s">
        <v>861</v>
      </c>
      <c r="G3" s="569"/>
      <c r="H3" s="569" t="s">
        <v>840</v>
      </c>
    </row>
    <row r="4" customFormat="false" ht="18.75" hidden="false" customHeight="true" outlineLevel="0" collapsed="false">
      <c r="A4" s="568"/>
      <c r="B4" s="568"/>
      <c r="C4" s="569" t="n">
        <v>2005</v>
      </c>
      <c r="D4" s="569" t="n">
        <v>2007</v>
      </c>
      <c r="E4" s="569"/>
      <c r="F4" s="569" t="n">
        <v>2005</v>
      </c>
      <c r="G4" s="569" t="n">
        <v>2007</v>
      </c>
      <c r="H4" s="569"/>
    </row>
    <row r="5" customFormat="false" ht="18.75" hidden="false" customHeight="true" outlineLevel="0" collapsed="false">
      <c r="A5" s="570" t="s">
        <v>862</v>
      </c>
      <c r="B5" s="571" t="s">
        <v>863</v>
      </c>
      <c r="C5" s="572" t="e">
        <f aca="false">+'5.renovables'!#ref!+'5.renovables'!#ref!</f>
        <v>#VALUE!</v>
      </c>
      <c r="D5" s="572" t="e">
        <f aca="false">+'5.renovables'!#ref!+'5.renovables'!#ref!</f>
        <v>#VALUE!</v>
      </c>
      <c r="E5" s="573" t="e">
        <f aca="false">(D5-C5)/C5</f>
        <v>#VALUE!</v>
      </c>
      <c r="F5" s="574" t="e">
        <f aca="false">C5/'4.cl'!#ref!</f>
        <v>#VALUE!</v>
      </c>
      <c r="G5" s="574" t="e">
        <f aca="false">D5/'4.cl'!#ref!</f>
        <v>#VALUE!</v>
      </c>
      <c r="H5" s="575" t="e">
        <f aca="false">(G5-F5)/F5</f>
        <v>#VALUE!</v>
      </c>
    </row>
    <row r="6" customFormat="false" ht="18.75" hidden="false" customHeight="true" outlineLevel="0" collapsed="false">
      <c r="A6" s="570"/>
      <c r="B6" s="571" t="s">
        <v>247</v>
      </c>
      <c r="C6" s="572" t="e">
        <f aca="false">+'5.renovables'!#ref!</f>
        <v>#VALUE!</v>
      </c>
      <c r="D6" s="572" t="e">
        <f aca="false">+'5.renovables'!#ref!</f>
        <v>#VALUE!</v>
      </c>
      <c r="E6" s="576" t="e">
        <f aca="false">(D6-C6)/C6</f>
        <v>#VALUE!</v>
      </c>
      <c r="F6" s="577" t="e">
        <f aca="false">C6/'4.cl'!#ref!</f>
        <v>#VALUE!</v>
      </c>
      <c r="G6" s="577" t="e">
        <f aca="false">D6/'4.cl'!#ref!</f>
        <v>#VALUE!</v>
      </c>
      <c r="H6" s="578" t="e">
        <f aca="false">(G6-F6)/F6</f>
        <v>#VALUE!</v>
      </c>
    </row>
    <row r="7" customFormat="false" ht="18.75" hidden="false" customHeight="true" outlineLevel="0" collapsed="false">
      <c r="A7" s="570" t="s">
        <v>864</v>
      </c>
      <c r="B7" s="571" t="s">
        <v>863</v>
      </c>
      <c r="C7" s="572" t="e">
        <f aca="false">+'5.renovables'!#ref!</f>
        <v>#VALUE!</v>
      </c>
      <c r="D7" s="572" t="n">
        <v>0</v>
      </c>
      <c r="E7" s="576" t="e">
        <f aca="false">(D7-C7)/C7</f>
        <v>#VALUE!</v>
      </c>
      <c r="F7" s="577" t="e">
        <f aca="false">C7/'4.cl'!#ref!</f>
        <v>#VALUE!</v>
      </c>
      <c r="G7" s="577" t="e">
        <f aca="false">D7/'4.cl'!#ref!</f>
        <v>#VALUE!</v>
      </c>
      <c r="H7" s="578" t="e">
        <f aca="false">(G7-F7)/F7</f>
        <v>#VALUE!</v>
      </c>
    </row>
    <row r="8" customFormat="false" ht="18.75" hidden="false" customHeight="true" outlineLevel="0" collapsed="false">
      <c r="A8" s="570"/>
      <c r="B8" s="571" t="s">
        <v>247</v>
      </c>
      <c r="C8" s="572" t="e">
        <f aca="false">+'5.renovables'!#ref!</f>
        <v>#VALUE!</v>
      </c>
      <c r="D8" s="572" t="n">
        <v>0</v>
      </c>
      <c r="E8" s="576" t="e">
        <f aca="false">(D8-C8)/C8</f>
        <v>#VALUE!</v>
      </c>
      <c r="F8" s="577" t="e">
        <f aca="false">C8/'4.cl'!#ref!</f>
        <v>#VALUE!</v>
      </c>
      <c r="G8" s="577" t="e">
        <f aca="false">D8/'4.cl'!#ref!</f>
        <v>#VALUE!</v>
      </c>
      <c r="H8" s="578" t="e">
        <f aca="false">(G8-F8)/F8</f>
        <v>#VALUE!</v>
      </c>
    </row>
    <row r="9" customFormat="false" ht="18.75" hidden="false" customHeight="true" outlineLevel="0" collapsed="false">
      <c r="A9" s="570" t="s">
        <v>272</v>
      </c>
      <c r="B9" s="570"/>
      <c r="C9" s="579" t="e">
        <f aca="false">SUM(C5:C8)</f>
        <v>#VALUE!</v>
      </c>
      <c r="D9" s="579" t="e">
        <f aca="false">SUM(D5:D8)</f>
        <v>#VALUE!</v>
      </c>
      <c r="E9" s="576" t="e">
        <f aca="false">(D9-C9)/C9</f>
        <v>#VALUE!</v>
      </c>
      <c r="F9" s="580" t="e">
        <f aca="false">SUM(F5:F8)</f>
        <v>#VALUE!</v>
      </c>
      <c r="G9" s="580" t="e">
        <f aca="false">SUM(G5:G8)</f>
        <v>#VALUE!</v>
      </c>
      <c r="H9" s="578" t="e">
        <f aca="false">(G9-F9)/F9</f>
        <v>#VALUE!</v>
      </c>
    </row>
    <row r="10" customFormat="false" ht="18.75" hidden="false" customHeight="true" outlineLevel="0" collapsed="false">
      <c r="A10" s="570" t="s">
        <v>865</v>
      </c>
      <c r="B10" s="570"/>
      <c r="C10" s="581" t="s">
        <v>866</v>
      </c>
      <c r="D10" s="581" t="s">
        <v>866</v>
      </c>
      <c r="E10" s="582"/>
      <c r="F10" s="582"/>
      <c r="G10" s="582"/>
      <c r="H10" s="582"/>
    </row>
    <row r="11" customFormat="false" ht="18.75" hidden="false" customHeight="true" outlineLevel="0" collapsed="false">
      <c r="A11" s="570"/>
      <c r="B11" s="570"/>
      <c r="C11" s="581" t="n">
        <v>2005</v>
      </c>
      <c r="D11" s="581" t="n">
        <v>2005</v>
      </c>
      <c r="E11" s="582"/>
      <c r="F11" s="582"/>
      <c r="G11" s="582"/>
      <c r="H11" s="582"/>
    </row>
    <row r="12" customFormat="false" ht="18.75" hidden="false" customHeight="true" outlineLevel="0" collapsed="false">
      <c r="A12" s="570" t="s">
        <v>867</v>
      </c>
      <c r="B12" s="570" t="s">
        <v>863</v>
      </c>
      <c r="C12" s="583" t="e">
        <f aca="false">(C5+C7)/'t. municipi'!#ref!</f>
        <v>#VALUE!</v>
      </c>
      <c r="D12" s="583" t="e">
        <f aca="false">(D5+D7)/'t. municipi'!#ref!</f>
        <v>#VALUE!</v>
      </c>
      <c r="E12" s="584"/>
      <c r="F12" s="584"/>
      <c r="G12" s="584"/>
      <c r="H12" s="584"/>
    </row>
    <row r="13" customFormat="false" ht="18.75" hidden="false" customHeight="true" outlineLevel="0" collapsed="false">
      <c r="A13" s="570"/>
      <c r="B13" s="570" t="s">
        <v>247</v>
      </c>
      <c r="C13" s="583" t="e">
        <f aca="false">(C6+C8)/'t. municipi'!#ref!</f>
        <v>#VALUE!</v>
      </c>
      <c r="D13" s="583" t="e">
        <f aca="false">(D6+D8)/'t. municipi'!#ref!</f>
        <v>#VALUE!</v>
      </c>
      <c r="E13" s="584"/>
      <c r="F13" s="584"/>
      <c r="G13" s="584"/>
      <c r="H13" s="584"/>
    </row>
    <row r="16" customFormat="false" ht="18.75" hidden="false" customHeight="true" outlineLevel="0" collapsed="false">
      <c r="A16" s="585" t="s">
        <v>868</v>
      </c>
      <c r="B16" s="585"/>
      <c r="C16" s="585"/>
      <c r="D16" s="585"/>
      <c r="E16" s="585"/>
      <c r="F16" s="585"/>
    </row>
  </sheetData>
  <mergeCells count="14">
    <mergeCell ref="A3:B4"/>
    <mergeCell ref="C3:D3"/>
    <mergeCell ref="E3:E4"/>
    <mergeCell ref="F3:G3"/>
    <mergeCell ref="H3:H4"/>
    <mergeCell ref="A5:A6"/>
    <mergeCell ref="A7:A8"/>
    <mergeCell ref="A9:B9"/>
    <mergeCell ref="A10:B11"/>
    <mergeCell ref="E10:E11"/>
    <mergeCell ref="F10:F11"/>
    <mergeCell ref="G10:G11"/>
    <mergeCell ref="H10:H11"/>
    <mergeCell ref="A12:A1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sheetPr filterMode="false">
    <tabColor rgb="FFFF0000"/>
    <pageSetUpPr fitToPage="false"/>
  </sheetPr>
  <dimension ref="A1:L30"/>
  <sheetViews>
    <sheetView windowProtection="false" showFormulas="false" showGridLines="true" showRowColHeaders="true" showZeros="true" rightToLeft="false" tabSelected="false" showOutlineSymbols="true" defaultGridColor="true" view="normal" topLeftCell="A10" colorId="64" zoomScale="100" zoomScaleNormal="100" zoomScalePageLayoutView="100" workbookViewId="0">
      <selection pane="topLeft" activeCell="K14" activeCellId="0" sqref="K14"/>
    </sheetView>
  </sheetViews>
  <sheetFormatPr defaultRowHeight="12.75"/>
  <cols>
    <col collapsed="false" hidden="false" max="3" min="1" style="0" width="10.530612244898"/>
    <col collapsed="false" hidden="false" max="4" min="4" style="0" width="11.3418367346939"/>
    <col collapsed="false" hidden="false" max="5" min="5" style="0" width="11.8775510204082"/>
    <col collapsed="false" hidden="false" max="1025" min="6" style="0" width="10.530612244898"/>
  </cols>
  <sheetData>
    <row r="1" customFormat="false" ht="12.75" hidden="false" customHeight="false" outlineLevel="0" collapsed="false">
      <c r="A1" s="509" t="s">
        <v>869</v>
      </c>
    </row>
    <row r="2" customFormat="false" ht="13.5" hidden="false" customHeight="false" outlineLevel="0" collapsed="false"/>
    <row r="3" customFormat="false" ht="27.75" hidden="false" customHeight="false" outlineLevel="0" collapsed="false">
      <c r="A3" s="586"/>
      <c r="B3" s="586" t="s">
        <v>870</v>
      </c>
      <c r="C3" s="586" t="s">
        <v>871</v>
      </c>
      <c r="D3" s="586" t="s">
        <v>872</v>
      </c>
      <c r="E3" s="586" t="s">
        <v>873</v>
      </c>
      <c r="F3" s="586" t="s">
        <v>874</v>
      </c>
      <c r="G3" s="586" t="s">
        <v>875</v>
      </c>
      <c r="H3" s="586" t="s">
        <v>876</v>
      </c>
      <c r="I3" s="586" t="s">
        <v>877</v>
      </c>
      <c r="L3" s="0" t="e">
        <f aca="false">IF(H9&lt;0,0,1)</f>
        <v>#VALUE!</v>
      </c>
    </row>
    <row r="4" customFormat="false" ht="14.25" hidden="false" customHeight="false" outlineLevel="0" collapsed="false">
      <c r="A4" s="587" t="s">
        <v>878</v>
      </c>
      <c r="B4" s="588" t="e">
        <f aca="false">'6.residus'!#ref!</f>
        <v>#VALUE!</v>
      </c>
      <c r="C4" s="588" t="e">
        <f aca="false">'6.residus'!#ref!</f>
        <v>#VALUE!</v>
      </c>
      <c r="D4" s="588" t="e">
        <f aca="false">'6.residus'!#ref!</f>
        <v>#VALUE!</v>
      </c>
      <c r="E4" s="588" t="e">
        <f aca="false">'6.residus'!#ref!</f>
        <v>#VALUE!</v>
      </c>
      <c r="F4" s="588" t="e">
        <f aca="false">'6.residus'!#ref!</f>
        <v>#VALUE!</v>
      </c>
      <c r="G4" s="588" t="e">
        <f aca="false">'6.residus'!#ref!</f>
        <v>#VALUE!</v>
      </c>
      <c r="H4" s="589" t="e">
        <f aca="false">B4+C4+D4+E4+F4+G4</f>
        <v>#VALUE!</v>
      </c>
      <c r="I4" s="590" t="e">
        <f aca="false">B4+C4+D4+E4+G4</f>
        <v>#VALUE!</v>
      </c>
      <c r="L4" s="0" t="e">
        <f aca="false">IF(H10&lt;0,0,1)</f>
        <v>#VALUE!</v>
      </c>
    </row>
    <row r="5" customFormat="false" ht="13.5" hidden="false" customHeight="false" outlineLevel="0" collapsed="false">
      <c r="A5" s="587" t="s">
        <v>879</v>
      </c>
      <c r="B5" s="591" t="e">
        <f aca="false">B4/$H$4</f>
        <v>#VALUE!</v>
      </c>
      <c r="C5" s="591" t="e">
        <f aca="false">C4/$H$4</f>
        <v>#VALUE!</v>
      </c>
      <c r="D5" s="591" t="e">
        <f aca="false">D4/$H$4</f>
        <v>#VALUE!</v>
      </c>
      <c r="E5" s="591" t="e">
        <f aca="false">E4/$H$4</f>
        <v>#VALUE!</v>
      </c>
      <c r="F5" s="591" t="e">
        <f aca="false">F4/$H$4</f>
        <v>#VALUE!</v>
      </c>
      <c r="G5" s="591" t="e">
        <f aca="false">G4/$H$4</f>
        <v>#VALUE!</v>
      </c>
      <c r="H5" s="591" t="e">
        <f aca="false">B5+C5+D5+E5+F5+G5</f>
        <v>#VALUE!</v>
      </c>
      <c r="L5" s="0" t="e">
        <f aca="false">IF(H11&lt;0,0,1)</f>
        <v>#VALUE!</v>
      </c>
    </row>
    <row r="6" customFormat="false" ht="12.75" hidden="false" customHeight="false" outlineLevel="0" collapsed="false">
      <c r="F6" s="592"/>
      <c r="L6" s="0" t="e">
        <f aca="false">IF(H12&lt;0,0,1)</f>
        <v>#VALUE!</v>
      </c>
    </row>
    <row r="7" customFormat="false" ht="13.5" hidden="false" customHeight="false" outlineLevel="0" collapsed="false"/>
    <row r="8" customFormat="false" ht="67.5" hidden="false" customHeight="false" outlineLevel="0" collapsed="false">
      <c r="A8" s="593" t="s">
        <v>880</v>
      </c>
      <c r="B8" s="586" t="s">
        <v>881</v>
      </c>
      <c r="C8" s="586" t="s">
        <v>882</v>
      </c>
      <c r="D8" s="586" t="s">
        <v>883</v>
      </c>
      <c r="E8" s="586" t="s">
        <v>884</v>
      </c>
      <c r="F8" s="586" t="s">
        <v>885</v>
      </c>
      <c r="G8" s="586" t="s">
        <v>886</v>
      </c>
      <c r="H8" s="594" t="s">
        <v>295</v>
      </c>
    </row>
    <row r="9" customFormat="false" ht="12.75" hidden="false" customHeight="false" outlineLevel="0" collapsed="false">
      <c r="A9" s="595" t="s">
        <v>682</v>
      </c>
      <c r="B9" s="596" t="n">
        <v>0.36</v>
      </c>
      <c r="C9" s="597" t="e">
        <f aca="false">$H$4*B9</f>
        <v>#VALUE!</v>
      </c>
      <c r="D9" s="597" t="e">
        <f aca="false">B4</f>
        <v>#VALUE!</v>
      </c>
      <c r="E9" s="596" t="n">
        <v>0.55</v>
      </c>
      <c r="F9" s="596" t="e">
        <f aca="false">D9/C9</f>
        <v>#VALUE!</v>
      </c>
      <c r="G9" s="596" t="e">
        <f aca="false">E9-F9</f>
        <v>#VALUE!</v>
      </c>
      <c r="H9" s="598" t="e">
        <f aca="false">C9*G9</f>
        <v>#VALUE!</v>
      </c>
    </row>
    <row r="10" customFormat="false" ht="12.75" hidden="false" customHeight="false" outlineLevel="0" collapsed="false">
      <c r="A10" s="595" t="s">
        <v>887</v>
      </c>
      <c r="B10" s="596" t="n">
        <v>0.18</v>
      </c>
      <c r="C10" s="597" t="e">
        <f aca="false">$H$4*B10</f>
        <v>#VALUE!</v>
      </c>
      <c r="D10" s="597" t="e">
        <f aca="false">D4</f>
        <v>#VALUE!</v>
      </c>
      <c r="E10" s="596" t="n">
        <v>0.75</v>
      </c>
      <c r="F10" s="596" t="e">
        <f aca="false">D10/C10</f>
        <v>#VALUE!</v>
      </c>
      <c r="G10" s="596" t="e">
        <f aca="false">E10-F10</f>
        <v>#VALUE!</v>
      </c>
      <c r="H10" s="598" t="e">
        <f aca="false">C10*G10</f>
        <v>#VALUE!</v>
      </c>
    </row>
    <row r="11" customFormat="false" ht="12.75" hidden="false" customHeight="false" outlineLevel="0" collapsed="false">
      <c r="A11" s="595" t="s">
        <v>127</v>
      </c>
      <c r="B11" s="596" t="n">
        <v>0.07</v>
      </c>
      <c r="C11" s="597" t="e">
        <f aca="false">$H$4*B11</f>
        <v>#VALUE!</v>
      </c>
      <c r="D11" s="597" t="e">
        <f aca="false">C4</f>
        <v>#VALUE!</v>
      </c>
      <c r="E11" s="596" t="n">
        <v>0.75</v>
      </c>
      <c r="F11" s="596" t="e">
        <f aca="false">D11/C11</f>
        <v>#VALUE!</v>
      </c>
      <c r="G11" s="596" t="e">
        <f aca="false">E11-F11</f>
        <v>#VALUE!</v>
      </c>
      <c r="H11" s="598" t="e">
        <f aca="false">C11*G11</f>
        <v>#VALUE!</v>
      </c>
    </row>
    <row r="12" customFormat="false" ht="13.5" hidden="false" customHeight="false" outlineLevel="0" collapsed="false">
      <c r="A12" s="599" t="s">
        <v>261</v>
      </c>
      <c r="B12" s="600" t="n">
        <v>0.12</v>
      </c>
      <c r="C12" s="601" t="e">
        <f aca="false">$H$4*B12</f>
        <v>#VALUE!</v>
      </c>
      <c r="D12" s="601" t="e">
        <f aca="false">E4</f>
        <v>#VALUE!</v>
      </c>
      <c r="E12" s="600" t="n">
        <v>0.25</v>
      </c>
      <c r="F12" s="600" t="e">
        <f aca="false">D12/C12</f>
        <v>#VALUE!</v>
      </c>
      <c r="G12" s="596" t="e">
        <f aca="false">E12-F12</f>
        <v>#VALUE!</v>
      </c>
      <c r="H12" s="598" t="e">
        <f aca="false">C12*G12</f>
        <v>#VALUE!</v>
      </c>
    </row>
    <row r="13" customFormat="false" ht="12.75" hidden="false" customHeight="false" outlineLevel="0" collapsed="false">
      <c r="H13" s="598" t="e">
        <f aca="false">SUM(H9:H12)</f>
        <v>#VALUE!</v>
      </c>
    </row>
    <row r="14" customFormat="false" ht="13.5" hidden="false" customHeight="false" outlineLevel="0" collapsed="false"/>
    <row r="15" customFormat="false" ht="41.25" hidden="false" customHeight="false" outlineLevel="0" collapsed="false">
      <c r="B15" s="602" t="s">
        <v>883</v>
      </c>
      <c r="C15" s="602" t="s">
        <v>888</v>
      </c>
      <c r="D15" s="602" t="s">
        <v>889</v>
      </c>
      <c r="E15" s="602" t="s">
        <v>890</v>
      </c>
      <c r="F15" s="602" t="s">
        <v>891</v>
      </c>
    </row>
    <row r="16" customFormat="false" ht="12.75" hidden="false" customHeight="true" outlineLevel="0" collapsed="false">
      <c r="A16" s="603" t="s">
        <v>892</v>
      </c>
      <c r="B16" s="604" t="e">
        <f aca="false">B4</f>
        <v>#VALUE!</v>
      </c>
      <c r="C16" s="604" t="e">
        <f aca="false">H9*L3</f>
        <v>#VALUE!</v>
      </c>
      <c r="D16" s="605" t="e">
        <f aca="false">B16+C16</f>
        <v>#VALUE!</v>
      </c>
      <c r="E16" s="604" t="e">
        <f aca="false">B16*'6.residus'!#ref!</f>
        <v>#VALUE!</v>
      </c>
      <c r="F16" s="604" t="e">
        <f aca="false">D16*'6.residus'!#ref!</f>
        <v>#VALUE!</v>
      </c>
    </row>
    <row r="17" customFormat="false" ht="12.75" hidden="false" customHeight="true" outlineLevel="0" collapsed="false">
      <c r="A17" s="595" t="s">
        <v>871</v>
      </c>
      <c r="B17" s="597" t="e">
        <f aca="false">C4</f>
        <v>#VALUE!</v>
      </c>
      <c r="C17" s="597" t="e">
        <f aca="false">H11*L5</f>
        <v>#VALUE!</v>
      </c>
      <c r="D17" s="606" t="e">
        <f aca="false">B17+C17</f>
        <v>#VALUE!</v>
      </c>
      <c r="E17" s="604" t="e">
        <f aca="false">D17*'6.residus'!#ref!</f>
        <v>#VALUE!</v>
      </c>
      <c r="F17" s="604" t="e">
        <f aca="false">D17*'6.residus'!#ref!</f>
        <v>#VALUE!</v>
      </c>
    </row>
    <row r="18" customFormat="false" ht="12.75" hidden="false" customHeight="true" outlineLevel="0" collapsed="false">
      <c r="A18" s="595" t="s">
        <v>893</v>
      </c>
      <c r="B18" s="597" t="e">
        <f aca="false">D4</f>
        <v>#VALUE!</v>
      </c>
      <c r="C18" s="597" t="e">
        <f aca="false">H10*L4</f>
        <v>#VALUE!</v>
      </c>
      <c r="D18" s="606" t="e">
        <f aca="false">B18+C18</f>
        <v>#VALUE!</v>
      </c>
      <c r="E18" s="604" t="e">
        <f aca="false">B18*'6.residus'!#ref!</f>
        <v>#VALUE!</v>
      </c>
      <c r="F18" s="604" t="e">
        <f aca="false">D18*'6.residus'!#ref!</f>
        <v>#VALUE!</v>
      </c>
    </row>
    <row r="19" customFormat="false" ht="12.75" hidden="false" customHeight="true" outlineLevel="0" collapsed="false">
      <c r="A19" s="595" t="s">
        <v>873</v>
      </c>
      <c r="B19" s="597" t="e">
        <f aca="false">E4</f>
        <v>#VALUE!</v>
      </c>
      <c r="C19" s="597" t="e">
        <f aca="false">H12*L6</f>
        <v>#VALUE!</v>
      </c>
      <c r="D19" s="606" t="e">
        <f aca="false">B19+C19</f>
        <v>#VALUE!</v>
      </c>
      <c r="E19" s="604" t="e">
        <f aca="false">E30</f>
        <v>#VALUE!</v>
      </c>
      <c r="F19" s="604" t="e">
        <f aca="false">F30</f>
        <v>#VALUE!</v>
      </c>
    </row>
    <row r="20" customFormat="false" ht="12.75" hidden="false" customHeight="true" outlineLevel="0" collapsed="false">
      <c r="A20" s="595" t="s">
        <v>894</v>
      </c>
      <c r="B20" s="597" t="e">
        <f aca="false">G4</f>
        <v>#VALUE!</v>
      </c>
      <c r="C20" s="597" t="e">
        <f aca="false">-(C16+C17+C18+C19)</f>
        <v>#VALUE!</v>
      </c>
      <c r="D20" s="606" t="e">
        <f aca="false">B20+C20</f>
        <v>#VALUE!</v>
      </c>
      <c r="E20" s="604" t="e">
        <f aca="false">B20*'6.residus'!#ref!</f>
        <v>#VALUE!</v>
      </c>
      <c r="F20" s="604" t="e">
        <f aca="false">D20*'6.residus'!#ref!</f>
        <v>#VALUE!</v>
      </c>
    </row>
    <row r="21" customFormat="false" ht="13.5" hidden="false" customHeight="false" outlineLevel="0" collapsed="false">
      <c r="A21" s="607" t="s">
        <v>395</v>
      </c>
      <c r="B21" s="608" t="e">
        <f aca="false">SUM(B16:B20)</f>
        <v>#VALUE!</v>
      </c>
      <c r="C21" s="608" t="e">
        <f aca="false">SUM(C16:C20)</f>
        <v>#VALUE!</v>
      </c>
      <c r="D21" s="609" t="e">
        <f aca="false">SUM(D16:D20)</f>
        <v>#VALUE!</v>
      </c>
      <c r="E21" s="610" t="e">
        <f aca="false">SUM(E16:E20)</f>
        <v>#VALUE!</v>
      </c>
      <c r="F21" s="610" t="e">
        <f aca="false">SUM(F16:F20)</f>
        <v>#VALUE!</v>
      </c>
    </row>
    <row r="22" customFormat="false" ht="13.5" hidden="false" customHeight="false" outlineLevel="0" collapsed="false">
      <c r="A22" s="611" t="s">
        <v>895</v>
      </c>
      <c r="B22" s="612"/>
      <c r="C22" s="612"/>
      <c r="D22" s="612"/>
      <c r="E22" s="612"/>
      <c r="F22" s="613"/>
      <c r="G22" s="614" t="e">
        <f aca="false">E21-F21</f>
        <v>#VALUE!</v>
      </c>
    </row>
    <row r="24" customFormat="false" ht="13.5" hidden="false" customHeight="false" outlineLevel="0" collapsed="false">
      <c r="B24" s="592"/>
      <c r="E24" s="567" t="s">
        <v>896</v>
      </c>
      <c r="F24" s="567" t="s">
        <v>897</v>
      </c>
    </row>
    <row r="25" customFormat="false" ht="13.5" hidden="false" customHeight="false" outlineLevel="0" collapsed="false">
      <c r="A25" s="615" t="e">
        <f aca="false">'6.residus'!#ref!</f>
        <v>#VALUE!</v>
      </c>
      <c r="B25" s="616" t="e">
        <f aca="false">'6.residus'!#ref!</f>
        <v>#VALUE!</v>
      </c>
      <c r="C25" s="616" t="e">
        <f aca="false">'6.residus'!#ref!</f>
        <v>#VALUE!</v>
      </c>
      <c r="D25" s="617" t="e">
        <f aca="false">'6.residus'!#ref!</f>
        <v>#VALUE!</v>
      </c>
      <c r="E25" s="618" t="e">
        <f aca="false">$B$19*C25*D25</f>
        <v>#VALUE!</v>
      </c>
      <c r="F25" s="618" t="e">
        <f aca="false">$D$19*C25*D25</f>
        <v>#VALUE!</v>
      </c>
    </row>
    <row r="26" customFormat="false" ht="13.5" hidden="false" customHeight="false" outlineLevel="0" collapsed="false">
      <c r="A26" s="619" t="e">
        <f aca="false">'6.residus'!#ref!</f>
        <v>#VALUE!</v>
      </c>
      <c r="B26" s="565" t="e">
        <f aca="false">'6.residus'!#ref!</f>
        <v>#VALUE!</v>
      </c>
      <c r="C26" s="565" t="e">
        <f aca="false">'6.residus'!#ref!</f>
        <v>#VALUE!</v>
      </c>
      <c r="D26" s="620" t="e">
        <f aca="false">'6.residus'!#ref!</f>
        <v>#VALUE!</v>
      </c>
      <c r="E26" s="621" t="e">
        <f aca="false">$B$19*C26*D26</f>
        <v>#VALUE!</v>
      </c>
      <c r="F26" s="618" t="e">
        <f aca="false">$D$19*C26*D26</f>
        <v>#VALUE!</v>
      </c>
    </row>
    <row r="27" customFormat="false" ht="13.5" hidden="false" customHeight="false" outlineLevel="0" collapsed="false">
      <c r="A27" s="619" t="e">
        <f aca="false">'6.residus'!#ref!</f>
        <v>#VALUE!</v>
      </c>
      <c r="B27" s="565" t="e">
        <f aca="false">'6.residus'!#ref!</f>
        <v>#VALUE!</v>
      </c>
      <c r="C27" s="565" t="e">
        <f aca="false">'6.residus'!#ref!</f>
        <v>#VALUE!</v>
      </c>
      <c r="D27" s="620" t="e">
        <f aca="false">'6.residus'!#ref!</f>
        <v>#VALUE!</v>
      </c>
      <c r="E27" s="621" t="e">
        <f aca="false">$B$19*C27*D27</f>
        <v>#VALUE!</v>
      </c>
      <c r="F27" s="618" t="e">
        <f aca="false">$D$19*C27*D27</f>
        <v>#VALUE!</v>
      </c>
    </row>
    <row r="28" customFormat="false" ht="13.5" hidden="false" customHeight="false" outlineLevel="0" collapsed="false">
      <c r="A28" s="619" t="e">
        <f aca="false">'6.residus'!#ref!</f>
        <v>#VALUE!</v>
      </c>
      <c r="B28" s="565" t="e">
        <f aca="false">'6.residus'!#ref!</f>
        <v>#VALUE!</v>
      </c>
      <c r="C28" s="565" t="e">
        <f aca="false">'6.residus'!#ref!</f>
        <v>#VALUE!</v>
      </c>
      <c r="D28" s="620" t="e">
        <f aca="false">'6.residus'!#ref!</f>
        <v>#VALUE!</v>
      </c>
      <c r="E28" s="621" t="e">
        <f aca="false">$B$19*C28*D28</f>
        <v>#VALUE!</v>
      </c>
      <c r="F28" s="618" t="e">
        <f aca="false">$D$19*C28*D28</f>
        <v>#VALUE!</v>
      </c>
    </row>
    <row r="29" customFormat="false" ht="13.5" hidden="false" customHeight="false" outlineLevel="0" collapsed="false">
      <c r="A29" s="622" t="e">
        <f aca="false">'6.residus'!#ref!</f>
        <v>#VALUE!</v>
      </c>
      <c r="B29" s="623" t="e">
        <f aca="false">'6.residus'!#ref!</f>
        <v>#VALUE!</v>
      </c>
      <c r="C29" s="623" t="e">
        <f aca="false">'6.residus'!#ref!</f>
        <v>#VALUE!</v>
      </c>
      <c r="D29" s="624" t="e">
        <f aca="false">'6.residus'!#ref!</f>
        <v>#VALUE!</v>
      </c>
      <c r="E29" s="625" t="e">
        <f aca="false">$B$19*C29*D29</f>
        <v>#VALUE!</v>
      </c>
      <c r="F29" s="618" t="e">
        <f aca="false">$D$19*C29*D29</f>
        <v>#VALUE!</v>
      </c>
    </row>
    <row r="30" customFormat="false" ht="13.5" hidden="false" customHeight="false" outlineLevel="0" collapsed="false">
      <c r="E30" s="626" t="e">
        <f aca="false">SUM(E25:E29)</f>
        <v>#VALUE!</v>
      </c>
      <c r="F30" s="626" t="e">
        <f aca="false">SUM(F25:F29)</f>
        <v>#VALUE!</v>
      </c>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sheetPr filterMode="false">
    <pageSetUpPr fitToPage="false"/>
  </sheetPr>
  <dimension ref="A1:H76"/>
  <sheetViews>
    <sheetView windowProtection="false" showFormulas="false" showGridLines="true" showRowColHeaders="true" showZeros="true" rightToLeft="false" tabSelected="false" showOutlineSymbols="true" defaultGridColor="true" view="normal" topLeftCell="A61" colorId="64" zoomScale="100" zoomScaleNormal="100" zoomScalePageLayoutView="100" workbookViewId="0">
      <selection pane="topLeft" activeCell="K23" activeCellId="0" sqref="K23"/>
    </sheetView>
  </sheetViews>
  <sheetFormatPr defaultRowHeight="15"/>
  <cols>
    <col collapsed="false" hidden="false" max="1" min="1" style="627" width="21.5969387755102"/>
    <col collapsed="false" hidden="false" max="2" min="2" style="627" width="17.8214285714286"/>
    <col collapsed="false" hidden="false" max="3" min="3" style="627" width="15.9285714285714"/>
    <col collapsed="false" hidden="false" max="1025" min="4" style="627" width="11.2040816326531"/>
  </cols>
  <sheetData>
    <row r="1" customFormat="false" ht="18.75" hidden="false" customHeight="false" outlineLevel="0" collapsed="false">
      <c r="A1" s="628" t="s">
        <v>898</v>
      </c>
      <c r="B1" s="628"/>
      <c r="C1" s="628"/>
    </row>
    <row r="3" customFormat="false" ht="15.75" hidden="false" customHeight="true" outlineLevel="0" collapsed="false">
      <c r="B3" s="629" t="s">
        <v>899</v>
      </c>
      <c r="C3" s="629" t="s">
        <v>900</v>
      </c>
      <c r="D3" s="630" t="s">
        <v>901</v>
      </c>
      <c r="E3" s="631" t="s">
        <v>902</v>
      </c>
      <c r="F3" s="631" t="s">
        <v>903</v>
      </c>
      <c r="G3" s="630" t="s">
        <v>904</v>
      </c>
      <c r="H3" s="631" t="s">
        <v>905</v>
      </c>
    </row>
    <row r="4" customFormat="false" ht="16.5" hidden="false" customHeight="true" outlineLevel="0" collapsed="false">
      <c r="B4" s="629"/>
      <c r="C4" s="629"/>
      <c r="D4" s="630" t="s">
        <v>906</v>
      </c>
      <c r="E4" s="631" t="s">
        <v>902</v>
      </c>
      <c r="F4" s="631" t="s">
        <v>907</v>
      </c>
      <c r="G4" s="630" t="s">
        <v>905</v>
      </c>
      <c r="H4" s="631" t="s">
        <v>905</v>
      </c>
    </row>
    <row r="5" customFormat="false" ht="15" hidden="false" customHeight="false" outlineLevel="0" collapsed="false">
      <c r="A5" s="632" t="s">
        <v>908</v>
      </c>
      <c r="B5" s="633" t="n">
        <v>1.22281406501619</v>
      </c>
      <c r="C5" s="634" t="n">
        <v>1822.87096774194</v>
      </c>
      <c r="D5" s="635" t="n">
        <v>31</v>
      </c>
      <c r="E5" s="636" t="n">
        <f aca="false">C5*D5</f>
        <v>56509</v>
      </c>
      <c r="F5" s="636" t="n">
        <f aca="false">E5+E6+E7+E8+E9+E10+E11+E12+E13+E14+E15+E16</f>
        <v>734370.344827586</v>
      </c>
      <c r="G5" s="636" t="n">
        <f aca="false">B5*E5</f>
        <v>69100</v>
      </c>
      <c r="H5" s="636" t="n">
        <f aca="false">G5+G6+G7+G8+G9+G10+G11+G12+G14+G13+G15+G16</f>
        <v>820886.206896552</v>
      </c>
    </row>
    <row r="6" customFormat="false" ht="15" hidden="false" customHeight="false" outlineLevel="0" collapsed="false">
      <c r="A6" s="637" t="s">
        <v>909</v>
      </c>
      <c r="B6" s="638" t="n">
        <v>0.884930201671695</v>
      </c>
      <c r="C6" s="639" t="n">
        <v>2388.65517241379</v>
      </c>
      <c r="D6" s="635" t="n">
        <v>28</v>
      </c>
      <c r="E6" s="636" t="n">
        <f aca="false">C6*D6</f>
        <v>66882.3448275862</v>
      </c>
      <c r="F6" s="636"/>
      <c r="G6" s="636" t="n">
        <f aca="false">B6*E6</f>
        <v>59186.2068965517</v>
      </c>
      <c r="H6" s="636"/>
    </row>
    <row r="7" customFormat="false" ht="15" hidden="false" customHeight="false" outlineLevel="0" collapsed="false">
      <c r="A7" s="637" t="s">
        <v>910</v>
      </c>
      <c r="B7" s="640" t="n">
        <v>0.993392503439829</v>
      </c>
      <c r="C7" s="639" t="n">
        <v>2133.45161290323</v>
      </c>
      <c r="D7" s="635" t="n">
        <v>31</v>
      </c>
      <c r="E7" s="636" t="n">
        <f aca="false">C7*D7</f>
        <v>66137</v>
      </c>
      <c r="F7" s="636"/>
      <c r="G7" s="636" t="n">
        <f aca="false">B7*E7</f>
        <v>65700</v>
      </c>
      <c r="H7" s="636"/>
    </row>
    <row r="8" customFormat="false" ht="15" hidden="false" customHeight="false" outlineLevel="0" collapsed="false">
      <c r="A8" s="637" t="s">
        <v>911</v>
      </c>
      <c r="B8" s="638" t="n">
        <v>0.422229075795627</v>
      </c>
      <c r="C8" s="639" t="n">
        <v>4539.4</v>
      </c>
      <c r="D8" s="635" t="n">
        <v>30</v>
      </c>
      <c r="E8" s="636" t="n">
        <f aca="false">C8*D8</f>
        <v>136182</v>
      </c>
      <c r="F8" s="636"/>
      <c r="G8" s="636" t="n">
        <f aca="false">B8*E8</f>
        <v>57500</v>
      </c>
      <c r="H8" s="636"/>
    </row>
    <row r="9" customFormat="false" ht="15" hidden="false" customHeight="false" outlineLevel="0" collapsed="false">
      <c r="A9" s="637" t="s">
        <v>912</v>
      </c>
      <c r="B9" s="638" t="n">
        <v>0.936008526018257</v>
      </c>
      <c r="C9" s="639" t="n">
        <v>2088.48387096774</v>
      </c>
      <c r="D9" s="635" t="n">
        <v>31</v>
      </c>
      <c r="E9" s="636" t="n">
        <f aca="false">C9*D9</f>
        <v>64743</v>
      </c>
      <c r="F9" s="636"/>
      <c r="G9" s="636" t="n">
        <f aca="false">B9*E9</f>
        <v>60600</v>
      </c>
      <c r="H9" s="636"/>
    </row>
    <row r="10" customFormat="false" ht="15" hidden="false" customHeight="false" outlineLevel="0" collapsed="false">
      <c r="A10" s="637" t="s">
        <v>913</v>
      </c>
      <c r="B10" s="638" t="n">
        <v>1.73304336006524</v>
      </c>
      <c r="C10" s="639" t="n">
        <v>980.933333333333</v>
      </c>
      <c r="D10" s="635" t="n">
        <v>30</v>
      </c>
      <c r="E10" s="636" t="n">
        <f aca="false">C10*D10</f>
        <v>29428</v>
      </c>
      <c r="F10" s="636"/>
      <c r="G10" s="636" t="n">
        <f aca="false">B10*E10</f>
        <v>51000</v>
      </c>
      <c r="H10" s="636"/>
    </row>
    <row r="11" customFormat="false" ht="15" hidden="false" customHeight="false" outlineLevel="0" collapsed="false">
      <c r="A11" s="637" t="s">
        <v>914</v>
      </c>
      <c r="B11" s="641" t="n">
        <v>1.39741467809181</v>
      </c>
      <c r="C11" s="639" t="n">
        <v>1539.70967741935</v>
      </c>
      <c r="D11" s="635" t="n">
        <v>31</v>
      </c>
      <c r="E11" s="636" t="n">
        <f aca="false">C11*D11</f>
        <v>47731</v>
      </c>
      <c r="F11" s="636"/>
      <c r="G11" s="636" t="n">
        <f aca="false">B11*E11</f>
        <v>66700</v>
      </c>
      <c r="H11" s="636"/>
    </row>
    <row r="12" customFormat="false" ht="15" hidden="false" customHeight="false" outlineLevel="0" collapsed="false">
      <c r="A12" s="637" t="s">
        <v>915</v>
      </c>
      <c r="B12" s="638" t="n">
        <v>1.63756011136421</v>
      </c>
      <c r="C12" s="639" t="n">
        <v>1274.51612903226</v>
      </c>
      <c r="D12" s="635" t="n">
        <v>31</v>
      </c>
      <c r="E12" s="636" t="n">
        <f aca="false">C12*D12</f>
        <v>39510</v>
      </c>
      <c r="F12" s="636"/>
      <c r="G12" s="636" t="n">
        <f aca="false">B12*E12</f>
        <v>64700</v>
      </c>
      <c r="H12" s="636"/>
    </row>
    <row r="13" customFormat="false" ht="15" hidden="false" customHeight="false" outlineLevel="0" collapsed="false">
      <c r="A13" s="637" t="s">
        <v>916</v>
      </c>
      <c r="B13" s="638" t="n">
        <v>1.35216294593064</v>
      </c>
      <c r="C13" s="639" t="n">
        <v>1942.56666666667</v>
      </c>
      <c r="D13" s="635" t="n">
        <v>30</v>
      </c>
      <c r="E13" s="636" t="n">
        <f aca="false">C13*D13</f>
        <v>58277</v>
      </c>
      <c r="F13" s="636"/>
      <c r="G13" s="636" t="n">
        <f aca="false">B13*E13</f>
        <v>78800</v>
      </c>
      <c r="H13" s="636"/>
    </row>
    <row r="14" customFormat="false" ht="15" hidden="false" customHeight="false" outlineLevel="0" collapsed="false">
      <c r="A14" s="637" t="s">
        <v>917</v>
      </c>
      <c r="B14" s="638" t="n">
        <v>1.63757932910245</v>
      </c>
      <c r="C14" s="639" t="n">
        <v>1707.87096774194</v>
      </c>
      <c r="D14" s="635" t="n">
        <v>31</v>
      </c>
      <c r="E14" s="636" t="n">
        <f aca="false">C14*D14</f>
        <v>52944</v>
      </c>
      <c r="F14" s="636"/>
      <c r="G14" s="636" t="n">
        <f aca="false">B14*E14</f>
        <v>86700</v>
      </c>
      <c r="H14" s="636"/>
    </row>
    <row r="15" customFormat="false" ht="15" hidden="false" customHeight="false" outlineLevel="0" collapsed="false">
      <c r="A15" s="637" t="s">
        <v>918</v>
      </c>
      <c r="B15" s="638" t="n">
        <v>1.61471812760212</v>
      </c>
      <c r="C15" s="639" t="n">
        <v>1777.4</v>
      </c>
      <c r="D15" s="635" t="n">
        <v>30</v>
      </c>
      <c r="E15" s="636" t="n">
        <f aca="false">C15*D15</f>
        <v>53322</v>
      </c>
      <c r="F15" s="636"/>
      <c r="G15" s="636" t="n">
        <f aca="false">B15*E15</f>
        <v>86100</v>
      </c>
      <c r="H15" s="636"/>
    </row>
    <row r="16" customFormat="false" ht="15.75" hidden="false" customHeight="false" outlineLevel="0" collapsed="false">
      <c r="A16" s="642" t="s">
        <v>919</v>
      </c>
      <c r="B16" s="640" t="n">
        <v>1.19288732955905</v>
      </c>
      <c r="C16" s="643" t="n">
        <v>2022.74193548387</v>
      </c>
      <c r="D16" s="635" t="n">
        <v>31</v>
      </c>
      <c r="E16" s="636" t="n">
        <f aca="false">C16*D16</f>
        <v>62705</v>
      </c>
      <c r="F16" s="636"/>
      <c r="G16" s="636" t="n">
        <f aca="false">B16*E16</f>
        <v>74800</v>
      </c>
      <c r="H16" s="636"/>
    </row>
    <row r="17" customFormat="false" ht="15" hidden="false" customHeight="false" outlineLevel="0" collapsed="false">
      <c r="A17" s="644" t="s">
        <v>920</v>
      </c>
      <c r="B17" s="645" t="n">
        <v>1.21994155546949</v>
      </c>
      <c r="C17" s="646" t="n">
        <v>1832.45161290323</v>
      </c>
      <c r="D17" s="635" t="n">
        <v>31</v>
      </c>
      <c r="E17" s="636" t="n">
        <f aca="false">C17*D17</f>
        <v>56806</v>
      </c>
      <c r="F17" s="636" t="n">
        <f aca="false">E17+E18+E19+E20+E21+E22+E23+E24+E25+E26+E27+E28</f>
        <v>480900.059139785</v>
      </c>
      <c r="G17" s="636" t="n">
        <f aca="false">B17*E17</f>
        <v>69300</v>
      </c>
      <c r="H17" s="636" t="n">
        <f aca="false">G17+G18+G19+G20+G21+G22+G23+G24+G26+G25+G27+G28</f>
        <v>746943.010752688</v>
      </c>
    </row>
    <row r="18" customFormat="false" ht="15" hidden="false" customHeight="false" outlineLevel="0" collapsed="false">
      <c r="A18" s="637" t="s">
        <v>921</v>
      </c>
      <c r="B18" s="638" t="n">
        <v>1.14631656248321</v>
      </c>
      <c r="C18" s="639" t="n">
        <v>1993.96428571429</v>
      </c>
      <c r="D18" s="635" t="n">
        <v>28</v>
      </c>
      <c r="E18" s="636" t="n">
        <f aca="false">C18*D18</f>
        <v>55831</v>
      </c>
      <c r="F18" s="636"/>
      <c r="G18" s="636" t="n">
        <f aca="false">B18*E18</f>
        <v>64000</v>
      </c>
      <c r="H18" s="636"/>
    </row>
    <row r="19" customFormat="false" ht="15" hidden="false" customHeight="false" outlineLevel="0" collapsed="false">
      <c r="A19" s="637" t="s">
        <v>922</v>
      </c>
      <c r="B19" s="638" t="n">
        <v>1.27029451064375</v>
      </c>
      <c r="C19" s="639" t="n">
        <v>1762.35483870968</v>
      </c>
      <c r="D19" s="635" t="n">
        <v>31</v>
      </c>
      <c r="E19" s="636" t="n">
        <f aca="false">C19*D19</f>
        <v>54633</v>
      </c>
      <c r="F19" s="636"/>
      <c r="G19" s="636" t="n">
        <f aca="false">B19*E19</f>
        <v>69400</v>
      </c>
      <c r="H19" s="636"/>
    </row>
    <row r="20" customFormat="false" ht="15" hidden="false" customHeight="false" outlineLevel="0" collapsed="false">
      <c r="A20" s="637" t="s">
        <v>923</v>
      </c>
      <c r="B20" s="638" t="n">
        <v>1.29872505441841</v>
      </c>
      <c r="C20" s="639" t="n">
        <v>1822.3</v>
      </c>
      <c r="D20" s="635" t="n">
        <v>30</v>
      </c>
      <c r="E20" s="636" t="n">
        <f aca="false">C20*D20</f>
        <v>54669</v>
      </c>
      <c r="F20" s="636"/>
      <c r="G20" s="636" t="n">
        <f aca="false">B20*E20</f>
        <v>71000</v>
      </c>
      <c r="H20" s="636"/>
    </row>
    <row r="21" customFormat="false" ht="15" hidden="false" customHeight="false" outlineLevel="0" collapsed="false">
      <c r="A21" s="637" t="s">
        <v>924</v>
      </c>
      <c r="B21" s="638" t="n">
        <v>1.27114850953361</v>
      </c>
      <c r="C21" s="639" t="n">
        <v>1801.77419354839</v>
      </c>
      <c r="D21" s="635" t="n">
        <v>31</v>
      </c>
      <c r="E21" s="636" t="n">
        <f aca="false">C21*D21</f>
        <v>55855</v>
      </c>
      <c r="F21" s="636"/>
      <c r="G21" s="636" t="n">
        <f aca="false">B21*E21</f>
        <v>71000</v>
      </c>
      <c r="H21" s="636"/>
    </row>
    <row r="22" customFormat="false" ht="15" hidden="false" customHeight="false" outlineLevel="0" collapsed="false">
      <c r="A22" s="637" t="s">
        <v>925</v>
      </c>
      <c r="B22" s="647" t="n">
        <v>1.27114850953361</v>
      </c>
      <c r="C22" s="648" t="n">
        <v>1801.77419354839</v>
      </c>
      <c r="D22" s="635" t="n">
        <v>30</v>
      </c>
      <c r="E22" s="636" t="n">
        <f aca="false">C22*D22</f>
        <v>54053.2258064516</v>
      </c>
      <c r="F22" s="636"/>
      <c r="G22" s="636" t="n">
        <f aca="false">B22*E22</f>
        <v>68709.6774193549</v>
      </c>
      <c r="H22" s="636"/>
    </row>
    <row r="23" customFormat="false" ht="15" hidden="false" customHeight="false" outlineLevel="0" collapsed="false">
      <c r="A23" s="637" t="s">
        <v>926</v>
      </c>
      <c r="B23" s="638" t="n">
        <v>1.92414947016174</v>
      </c>
      <c r="C23" s="639" t="n">
        <v>1388.12903225806</v>
      </c>
      <c r="D23" s="635" t="n">
        <v>31</v>
      </c>
      <c r="E23" s="636" t="n">
        <f aca="false">C23*D23</f>
        <v>43032</v>
      </c>
      <c r="F23" s="636"/>
      <c r="G23" s="636" t="n">
        <f aca="false">B23*E23</f>
        <v>82800</v>
      </c>
      <c r="H23" s="636"/>
    </row>
    <row r="24" customFormat="false" ht="15" hidden="false" customHeight="false" outlineLevel="0" collapsed="false">
      <c r="A24" s="637" t="s">
        <v>927</v>
      </c>
      <c r="B24" s="638" t="n">
        <v>2.29742033383915</v>
      </c>
      <c r="C24" s="639" t="n">
        <v>1062.90322580645</v>
      </c>
      <c r="D24" s="635" t="n">
        <v>31</v>
      </c>
      <c r="E24" s="636" t="n">
        <f aca="false">C24*D24</f>
        <v>32950</v>
      </c>
      <c r="F24" s="636"/>
      <c r="G24" s="636" t="n">
        <f aca="false">B24*E24</f>
        <v>75700</v>
      </c>
      <c r="H24" s="636"/>
    </row>
    <row r="25" customFormat="false" ht="15" hidden="false" customHeight="false" outlineLevel="0" collapsed="false">
      <c r="A25" s="637" t="s">
        <v>928</v>
      </c>
      <c r="B25" s="638" t="n">
        <v>1.53841662774404</v>
      </c>
      <c r="C25" s="639" t="n">
        <v>1141.86666666667</v>
      </c>
      <c r="D25" s="635" t="n">
        <v>30</v>
      </c>
      <c r="E25" s="636" t="n">
        <f aca="false">C25*D25</f>
        <v>34256</v>
      </c>
      <c r="F25" s="636"/>
      <c r="G25" s="636" t="n">
        <f aca="false">B25*E25</f>
        <v>52700</v>
      </c>
      <c r="H25" s="636"/>
    </row>
    <row r="26" customFormat="false" ht="15" hidden="false" customHeight="false" outlineLevel="0" collapsed="false">
      <c r="A26" s="637" t="s">
        <v>929</v>
      </c>
      <c r="B26" s="638" t="n">
        <v>2.04454557992001</v>
      </c>
      <c r="C26" s="639" t="n">
        <v>935.612903225806</v>
      </c>
      <c r="D26" s="635" t="n">
        <v>31</v>
      </c>
      <c r="E26" s="636" t="n">
        <f aca="false">C26*D26</f>
        <v>29004</v>
      </c>
      <c r="F26" s="636"/>
      <c r="G26" s="636" t="n">
        <f aca="false">B26*E26</f>
        <v>59300</v>
      </c>
      <c r="H26" s="636"/>
    </row>
    <row r="27" customFormat="false" ht="15" hidden="false" customHeight="false" outlineLevel="0" collapsed="false">
      <c r="A27" s="637" t="s">
        <v>930</v>
      </c>
      <c r="B27" s="638" t="n">
        <v>6.42487046632124</v>
      </c>
      <c r="C27" s="639" t="n">
        <v>160.833333333333</v>
      </c>
      <c r="D27" s="635" t="n">
        <v>30</v>
      </c>
      <c r="E27" s="636" t="n">
        <f aca="false">C27*D27</f>
        <v>4825</v>
      </c>
      <c r="F27" s="636"/>
      <c r="G27" s="636" t="n">
        <f aca="false">B27*E27</f>
        <v>31000</v>
      </c>
      <c r="H27" s="636"/>
    </row>
    <row r="28" customFormat="false" ht="15.75" hidden="false" customHeight="false" outlineLevel="0" collapsed="false">
      <c r="A28" s="649" t="s">
        <v>931</v>
      </c>
      <c r="B28" s="647" t="n">
        <v>6.42487046632124</v>
      </c>
      <c r="C28" s="648" t="n">
        <v>160.833333333333</v>
      </c>
      <c r="D28" s="635" t="n">
        <v>31</v>
      </c>
      <c r="E28" s="636" t="n">
        <f aca="false">C28*D28</f>
        <v>4985.83333333333</v>
      </c>
      <c r="F28" s="636"/>
      <c r="G28" s="636" t="n">
        <f aca="false">B28*E28</f>
        <v>32033.3333333333</v>
      </c>
      <c r="H28" s="636"/>
    </row>
    <row r="29" customFormat="false" ht="15" hidden="false" customHeight="false" outlineLevel="0" collapsed="false">
      <c r="A29" s="650" t="s">
        <v>932</v>
      </c>
      <c r="B29" s="651" t="n">
        <v>1.22623335287713</v>
      </c>
      <c r="C29" s="646" t="n">
        <v>1925.64516129032</v>
      </c>
      <c r="D29" s="635" t="n">
        <v>31</v>
      </c>
      <c r="E29" s="636" t="n">
        <f aca="false">C29*D29</f>
        <v>59695</v>
      </c>
      <c r="F29" s="636" t="n">
        <f aca="false">E29+E30+E31+E32+E33+E34+E35+E36+E37+E38+E39+E40</f>
        <v>608923</v>
      </c>
      <c r="G29" s="636" t="n">
        <f aca="false">B29*E29</f>
        <v>73200</v>
      </c>
      <c r="H29" s="636" t="n">
        <f aca="false">G29+G30+G31+G32+G33+G34+G35+G36+G38+G37+G39+G40</f>
        <v>985200</v>
      </c>
    </row>
    <row r="30" customFormat="false" ht="15" hidden="false" customHeight="false" outlineLevel="0" collapsed="false">
      <c r="A30" s="652" t="s">
        <v>933</v>
      </c>
      <c r="B30" s="638" t="n">
        <v>1.50132008770752</v>
      </c>
      <c r="C30" s="639" t="n">
        <v>1596.21428571429</v>
      </c>
      <c r="D30" s="635" t="n">
        <v>28</v>
      </c>
      <c r="E30" s="636" t="n">
        <f aca="false">C30*D30</f>
        <v>44694</v>
      </c>
      <c r="F30" s="636"/>
      <c r="G30" s="636" t="n">
        <f aca="false">B30*E30</f>
        <v>67100</v>
      </c>
      <c r="H30" s="636"/>
    </row>
    <row r="31" customFormat="false" ht="15" hidden="false" customHeight="false" outlineLevel="0" collapsed="false">
      <c r="A31" s="652" t="s">
        <v>934</v>
      </c>
      <c r="B31" s="638" t="n">
        <v>1.40727534802564</v>
      </c>
      <c r="C31" s="639" t="n">
        <v>1700.83870967742</v>
      </c>
      <c r="D31" s="635" t="n">
        <v>31</v>
      </c>
      <c r="E31" s="636" t="n">
        <f aca="false">C31*D31</f>
        <v>52726</v>
      </c>
      <c r="F31" s="636"/>
      <c r="G31" s="636" t="n">
        <f aca="false">B31*E31</f>
        <v>74200</v>
      </c>
      <c r="H31" s="636"/>
    </row>
    <row r="32" customFormat="false" ht="15" hidden="false" customHeight="false" outlineLevel="0" collapsed="false">
      <c r="A32" s="652" t="s">
        <v>935</v>
      </c>
      <c r="B32" s="638" t="n">
        <v>1.81258325871896</v>
      </c>
      <c r="C32" s="639" t="n">
        <v>1526.36666666667</v>
      </c>
      <c r="D32" s="635" t="n">
        <v>30</v>
      </c>
      <c r="E32" s="636" t="n">
        <f aca="false">C32*D32</f>
        <v>45791</v>
      </c>
      <c r="F32" s="636"/>
      <c r="G32" s="636" t="n">
        <f aca="false">B32*E32</f>
        <v>83000</v>
      </c>
      <c r="H32" s="636"/>
    </row>
    <row r="33" customFormat="false" ht="15" hidden="false" customHeight="false" outlineLevel="0" collapsed="false">
      <c r="A33" s="652" t="s">
        <v>936</v>
      </c>
      <c r="B33" s="638" t="n">
        <v>1.98340824221283</v>
      </c>
      <c r="C33" s="639" t="n">
        <v>1442.61290322581</v>
      </c>
      <c r="D33" s="635" t="n">
        <v>31</v>
      </c>
      <c r="E33" s="636" t="n">
        <f aca="false">C33*D33</f>
        <v>44721</v>
      </c>
      <c r="F33" s="636"/>
      <c r="G33" s="636" t="n">
        <f aca="false">B33*E33</f>
        <v>88700</v>
      </c>
      <c r="H33" s="636"/>
    </row>
    <row r="34" customFormat="false" ht="15" hidden="false" customHeight="false" outlineLevel="0" collapsed="false">
      <c r="A34" s="652" t="s">
        <v>937</v>
      </c>
      <c r="B34" s="638" t="n">
        <v>1.92462431768262</v>
      </c>
      <c r="C34" s="639" t="n">
        <v>1532.76666666667</v>
      </c>
      <c r="D34" s="635" t="n">
        <v>30</v>
      </c>
      <c r="E34" s="636" t="n">
        <f aca="false">C34*D34</f>
        <v>45983</v>
      </c>
      <c r="F34" s="636"/>
      <c r="G34" s="636" t="n">
        <f aca="false">B34*E34</f>
        <v>88500</v>
      </c>
      <c r="H34" s="636"/>
    </row>
    <row r="35" customFormat="false" ht="15" hidden="false" customHeight="false" outlineLevel="0" collapsed="false">
      <c r="A35" s="652" t="s">
        <v>938</v>
      </c>
      <c r="B35" s="638" t="n">
        <v>1.92374651810585</v>
      </c>
      <c r="C35" s="639" t="n">
        <v>1482.32258064516</v>
      </c>
      <c r="D35" s="635" t="n">
        <v>31</v>
      </c>
      <c r="E35" s="636" t="n">
        <f aca="false">C35*D35</f>
        <v>45952</v>
      </c>
      <c r="F35" s="636"/>
      <c r="G35" s="636" t="n">
        <f aca="false">B35*E35</f>
        <v>88400</v>
      </c>
      <c r="H35" s="636"/>
    </row>
    <row r="36" customFormat="false" ht="15" hidden="false" customHeight="false" outlineLevel="0" collapsed="false">
      <c r="A36" s="652" t="s">
        <v>939</v>
      </c>
      <c r="B36" s="638" t="n">
        <v>2.09926040291854</v>
      </c>
      <c r="C36" s="639" t="n">
        <v>1295.38709677419</v>
      </c>
      <c r="D36" s="635" t="n">
        <v>31</v>
      </c>
      <c r="E36" s="636" t="n">
        <f aca="false">C36*D36</f>
        <v>40157</v>
      </c>
      <c r="F36" s="636"/>
      <c r="G36" s="636" t="n">
        <f aca="false">B36*E36</f>
        <v>84300</v>
      </c>
      <c r="H36" s="636"/>
    </row>
    <row r="37" customFormat="false" ht="15" hidden="false" customHeight="false" outlineLevel="0" collapsed="false">
      <c r="A37" s="652" t="s">
        <v>940</v>
      </c>
      <c r="B37" s="638" t="n">
        <v>1.53356642063008</v>
      </c>
      <c r="C37" s="639" t="n">
        <v>1801.9</v>
      </c>
      <c r="D37" s="635" t="n">
        <v>30</v>
      </c>
      <c r="E37" s="636" t="n">
        <f aca="false">C37*D37</f>
        <v>54057</v>
      </c>
      <c r="F37" s="636"/>
      <c r="G37" s="636" t="n">
        <f aca="false">B37*E37</f>
        <v>82900</v>
      </c>
      <c r="H37" s="636"/>
    </row>
    <row r="38" customFormat="false" ht="15" hidden="false" customHeight="false" outlineLevel="0" collapsed="false">
      <c r="A38" s="652" t="s">
        <v>941</v>
      </c>
      <c r="B38" s="638" t="n">
        <v>1.37687969924812</v>
      </c>
      <c r="C38" s="639" t="n">
        <v>2059.35483870968</v>
      </c>
      <c r="D38" s="635" t="n">
        <v>31</v>
      </c>
      <c r="E38" s="636" t="n">
        <f aca="false">C38*D38</f>
        <v>63840</v>
      </c>
      <c r="F38" s="636"/>
      <c r="G38" s="636" t="n">
        <f aca="false">B38*E38</f>
        <v>87900</v>
      </c>
      <c r="H38" s="636"/>
    </row>
    <row r="39" customFormat="false" ht="15" hidden="false" customHeight="false" outlineLevel="0" collapsed="false">
      <c r="A39" s="652" t="s">
        <v>942</v>
      </c>
      <c r="B39" s="638" t="n">
        <v>1.55112200921385</v>
      </c>
      <c r="C39" s="639" t="n">
        <v>1794.4</v>
      </c>
      <c r="D39" s="635" t="n">
        <v>30</v>
      </c>
      <c r="E39" s="636" t="n">
        <f aca="false">C39*D39</f>
        <v>53832</v>
      </c>
      <c r="F39" s="636"/>
      <c r="G39" s="636" t="n">
        <f aca="false">B39*E39</f>
        <v>83500</v>
      </c>
      <c r="H39" s="636"/>
    </row>
    <row r="40" customFormat="false" ht="15.75" hidden="false" customHeight="false" outlineLevel="0" collapsed="false">
      <c r="A40" s="653" t="s">
        <v>943</v>
      </c>
      <c r="B40" s="654" t="n">
        <v>1.4528055676381</v>
      </c>
      <c r="C40" s="643" t="n">
        <v>1854.03225806452</v>
      </c>
      <c r="D40" s="635" t="n">
        <v>31</v>
      </c>
      <c r="E40" s="636" t="n">
        <f aca="false">C40*D40</f>
        <v>57475</v>
      </c>
      <c r="F40" s="636"/>
      <c r="G40" s="636" t="n">
        <f aca="false">B40*E40</f>
        <v>83500</v>
      </c>
      <c r="H40" s="636"/>
    </row>
    <row r="41" customFormat="false" ht="15" hidden="false" customHeight="false" outlineLevel="0" collapsed="false">
      <c r="A41" s="650" t="s">
        <v>944</v>
      </c>
      <c r="B41" s="651" t="n">
        <v>1.55127115369755</v>
      </c>
      <c r="C41" s="655" t="n">
        <v>1669.8064516129</v>
      </c>
      <c r="D41" s="635" t="n">
        <v>31</v>
      </c>
      <c r="E41" s="636" t="n">
        <f aca="false">C41*D41</f>
        <v>51764</v>
      </c>
      <c r="F41" s="636" t="n">
        <f aca="false">E41+E42+E43+E44+E45+E46+E47+E48+E49+E50+E51+E52</f>
        <v>645544</v>
      </c>
      <c r="G41" s="636" t="n">
        <f aca="false">B41*E41</f>
        <v>80300</v>
      </c>
      <c r="H41" s="636" t="n">
        <f aca="false">G41+G42+G43+G44+G45+G46+G47+G48+G50+G49+G51+G52</f>
        <v>937000</v>
      </c>
    </row>
    <row r="42" customFormat="false" ht="15" hidden="false" customHeight="false" outlineLevel="0" collapsed="false">
      <c r="A42" s="652" t="s">
        <v>945</v>
      </c>
      <c r="B42" s="651" t="n">
        <v>1.56153940735276</v>
      </c>
      <c r="C42" s="639" t="n">
        <v>1742.78571428571</v>
      </c>
      <c r="D42" s="635" t="n">
        <v>28</v>
      </c>
      <c r="E42" s="636" t="n">
        <f aca="false">C42*D42</f>
        <v>48798</v>
      </c>
      <c r="F42" s="636"/>
      <c r="G42" s="636" t="n">
        <f aca="false">B42*E42</f>
        <v>76200</v>
      </c>
      <c r="H42" s="636"/>
    </row>
    <row r="43" customFormat="false" ht="15" hidden="false" customHeight="false" outlineLevel="0" collapsed="false">
      <c r="A43" s="652" t="s">
        <v>946</v>
      </c>
      <c r="B43" s="651" t="n">
        <v>1.64888457807953</v>
      </c>
      <c r="C43" s="639" t="n">
        <v>1563.12903225806</v>
      </c>
      <c r="D43" s="635" t="n">
        <v>31</v>
      </c>
      <c r="E43" s="636" t="n">
        <f aca="false">C43*D43</f>
        <v>48457</v>
      </c>
      <c r="F43" s="636"/>
      <c r="G43" s="636" t="n">
        <f aca="false">B43*E43</f>
        <v>79900</v>
      </c>
      <c r="H43" s="636"/>
    </row>
    <row r="44" customFormat="false" ht="15" hidden="false" customHeight="false" outlineLevel="0" collapsed="false">
      <c r="A44" s="652" t="s">
        <v>947</v>
      </c>
      <c r="B44" s="651" t="n">
        <v>1.34027644293777</v>
      </c>
      <c r="C44" s="639" t="n">
        <v>1907.56666666667</v>
      </c>
      <c r="D44" s="635" t="n">
        <v>30</v>
      </c>
      <c r="E44" s="636" t="n">
        <f aca="false">C44*D44</f>
        <v>57227</v>
      </c>
      <c r="F44" s="636"/>
      <c r="G44" s="636" t="n">
        <f aca="false">B44*E44</f>
        <v>76700</v>
      </c>
      <c r="H44" s="636"/>
    </row>
    <row r="45" customFormat="false" ht="15" hidden="false" customHeight="false" outlineLevel="0" collapsed="false">
      <c r="A45" s="652" t="s">
        <v>948</v>
      </c>
      <c r="B45" s="651" t="n">
        <v>1.62388370509791</v>
      </c>
      <c r="C45" s="639" t="n">
        <v>1611.03225806452</v>
      </c>
      <c r="D45" s="635" t="n">
        <v>31</v>
      </c>
      <c r="E45" s="636" t="n">
        <f aca="false">C45*D45</f>
        <v>49942</v>
      </c>
      <c r="F45" s="636"/>
      <c r="G45" s="636" t="n">
        <f aca="false">B45*E45</f>
        <v>81100</v>
      </c>
      <c r="H45" s="636"/>
    </row>
    <row r="46" customFormat="false" ht="15" hidden="false" customHeight="false" outlineLevel="0" collapsed="false">
      <c r="A46" s="652" t="s">
        <v>949</v>
      </c>
      <c r="B46" s="651" t="n">
        <v>1.5600093515547</v>
      </c>
      <c r="C46" s="639" t="n">
        <v>1568.36666666667</v>
      </c>
      <c r="D46" s="635" t="n">
        <v>30</v>
      </c>
      <c r="E46" s="636" t="n">
        <f aca="false">C46*D46</f>
        <v>47051</v>
      </c>
      <c r="F46" s="636"/>
      <c r="G46" s="636" t="n">
        <f aca="false">B46*E46</f>
        <v>73400</v>
      </c>
      <c r="H46" s="636"/>
    </row>
    <row r="47" customFormat="false" ht="15" hidden="false" customHeight="false" outlineLevel="0" collapsed="false">
      <c r="A47" s="652" t="s">
        <v>950</v>
      </c>
      <c r="B47" s="651" t="n">
        <v>1.75283089946152</v>
      </c>
      <c r="C47" s="639" t="n">
        <v>1455.70967741936</v>
      </c>
      <c r="D47" s="635" t="n">
        <v>31</v>
      </c>
      <c r="E47" s="636" t="n">
        <f aca="false">C47*D47</f>
        <v>45127</v>
      </c>
      <c r="F47" s="636"/>
      <c r="G47" s="636" t="n">
        <f aca="false">B47*E47</f>
        <v>79100</v>
      </c>
      <c r="H47" s="636"/>
    </row>
    <row r="48" customFormat="false" ht="15" hidden="false" customHeight="false" outlineLevel="0" collapsed="false">
      <c r="A48" s="652" t="s">
        <v>951</v>
      </c>
      <c r="B48" s="651" t="n">
        <v>1.2977027660572</v>
      </c>
      <c r="C48" s="639" t="n">
        <v>1720.16129032258</v>
      </c>
      <c r="D48" s="635" t="n">
        <v>31</v>
      </c>
      <c r="E48" s="636" t="n">
        <f aca="false">C48*D48</f>
        <v>53325</v>
      </c>
      <c r="F48" s="636"/>
      <c r="G48" s="636" t="n">
        <f aca="false">B48*E48</f>
        <v>69200</v>
      </c>
      <c r="H48" s="636"/>
    </row>
    <row r="49" customFormat="false" ht="15" hidden="false" customHeight="false" outlineLevel="0" collapsed="false">
      <c r="A49" s="652" t="s">
        <v>952</v>
      </c>
      <c r="B49" s="651" t="n">
        <v>1.42945489884265</v>
      </c>
      <c r="C49" s="639" t="n">
        <v>1886.5</v>
      </c>
      <c r="D49" s="635" t="n">
        <v>30</v>
      </c>
      <c r="E49" s="636" t="n">
        <f aca="false">C49*D49</f>
        <v>56595</v>
      </c>
      <c r="F49" s="636"/>
      <c r="G49" s="636" t="n">
        <f aca="false">B49*E49</f>
        <v>80900</v>
      </c>
      <c r="H49" s="636"/>
    </row>
    <row r="50" customFormat="false" ht="15" hidden="false" customHeight="false" outlineLevel="0" collapsed="false">
      <c r="A50" s="652" t="s">
        <v>953</v>
      </c>
      <c r="B50" s="651" t="n">
        <v>1.17052681049802</v>
      </c>
      <c r="C50" s="639" t="n">
        <v>2196.41935483871</v>
      </c>
      <c r="D50" s="635" t="n">
        <v>31</v>
      </c>
      <c r="E50" s="636" t="n">
        <f aca="false">C50*D50</f>
        <v>68089</v>
      </c>
      <c r="F50" s="636"/>
      <c r="G50" s="636" t="n">
        <f aca="false">B50*E50</f>
        <v>79700</v>
      </c>
      <c r="H50" s="636"/>
    </row>
    <row r="51" customFormat="false" ht="15" hidden="false" customHeight="false" outlineLevel="0" collapsed="false">
      <c r="A51" s="652" t="s">
        <v>954</v>
      </c>
      <c r="B51" s="651" t="n">
        <v>1.37823585810163</v>
      </c>
      <c r="C51" s="639" t="n">
        <v>1946.93333333333</v>
      </c>
      <c r="D51" s="635" t="n">
        <v>30</v>
      </c>
      <c r="E51" s="636" t="n">
        <f aca="false">C51*D51</f>
        <v>58408</v>
      </c>
      <c r="F51" s="636"/>
      <c r="G51" s="636" t="n">
        <f aca="false">B51*E51</f>
        <v>80500</v>
      </c>
      <c r="H51" s="636"/>
    </row>
    <row r="52" customFormat="false" ht="15.75" hidden="false" customHeight="false" outlineLevel="0" collapsed="false">
      <c r="A52" s="653" t="s">
        <v>955</v>
      </c>
      <c r="B52" s="656" t="n">
        <v>1.31663402511479</v>
      </c>
      <c r="C52" s="657" t="n">
        <v>1960.03225806452</v>
      </c>
      <c r="D52" s="635" t="n">
        <v>31</v>
      </c>
      <c r="E52" s="636" t="n">
        <f aca="false">C52*D52</f>
        <v>60761</v>
      </c>
      <c r="F52" s="636"/>
      <c r="G52" s="636" t="n">
        <f aca="false">B52*E52</f>
        <v>80000</v>
      </c>
      <c r="H52" s="636"/>
    </row>
    <row r="53" customFormat="false" ht="15" hidden="false" customHeight="false" outlineLevel="0" collapsed="false">
      <c r="A53" s="650" t="s">
        <v>956</v>
      </c>
      <c r="B53" s="658" t="n">
        <v>1.4321199143469</v>
      </c>
      <c r="C53" s="655" t="n">
        <v>1883.06451612903</v>
      </c>
      <c r="D53" s="635" t="n">
        <v>31</v>
      </c>
      <c r="E53" s="636" t="n">
        <f aca="false">C53*D53</f>
        <v>58375</v>
      </c>
      <c r="F53" s="636" t="n">
        <f aca="false">E53+E54+E55+E56+E57+E58+E59+E60+E61+E62+E63+E64</f>
        <v>720301.172413793</v>
      </c>
      <c r="G53" s="636" t="n">
        <f aca="false">B53*E53</f>
        <v>83600</v>
      </c>
      <c r="H53" s="636" t="n">
        <f aca="false">G53+G54+G55+G56+G57+G58+G59+G60+G62+G61+G63+G64</f>
        <v>937034.482758621</v>
      </c>
    </row>
    <row r="54" customFormat="false" ht="15" hidden="false" customHeight="false" outlineLevel="0" collapsed="false">
      <c r="A54" s="652" t="s">
        <v>957</v>
      </c>
      <c r="B54" s="638" t="n">
        <v>1.22169013639309</v>
      </c>
      <c r="C54" s="655" t="n">
        <v>2181.8275862069</v>
      </c>
      <c r="D54" s="635" t="n">
        <v>28</v>
      </c>
      <c r="E54" s="636" t="n">
        <f aca="false">C54*D54</f>
        <v>61091.1724137931</v>
      </c>
      <c r="F54" s="636"/>
      <c r="G54" s="636" t="n">
        <f aca="false">B54*E54</f>
        <v>74634.4827586207</v>
      </c>
      <c r="H54" s="636"/>
    </row>
    <row r="55" customFormat="false" ht="15" hidden="false" customHeight="false" outlineLevel="0" collapsed="false">
      <c r="A55" s="652" t="s">
        <v>958</v>
      </c>
      <c r="B55" s="638" t="n">
        <v>1.61154142652619</v>
      </c>
      <c r="C55" s="639" t="n">
        <v>1757.48387096774</v>
      </c>
      <c r="D55" s="635" t="n">
        <v>31</v>
      </c>
      <c r="E55" s="636" t="n">
        <f aca="false">C55*D55</f>
        <v>54482</v>
      </c>
      <c r="F55" s="636"/>
      <c r="G55" s="636" t="n">
        <f aca="false">B55*E55</f>
        <v>87800</v>
      </c>
      <c r="H55" s="636"/>
    </row>
    <row r="56" customFormat="false" ht="15" hidden="false" customHeight="false" outlineLevel="0" collapsed="false">
      <c r="A56" s="652" t="s">
        <v>959</v>
      </c>
      <c r="B56" s="638" t="n">
        <v>1.54512721085744</v>
      </c>
      <c r="C56" s="639" t="n">
        <v>1684.86666666667</v>
      </c>
      <c r="D56" s="635" t="n">
        <v>30</v>
      </c>
      <c r="E56" s="636" t="n">
        <f aca="false">C56*D56</f>
        <v>50546</v>
      </c>
      <c r="F56" s="636"/>
      <c r="G56" s="636" t="n">
        <f aca="false">B56*E56</f>
        <v>78100</v>
      </c>
      <c r="H56" s="636"/>
    </row>
    <row r="57" customFormat="false" ht="15" hidden="false" customHeight="false" outlineLevel="0" collapsed="false">
      <c r="A57" s="652" t="s">
        <v>960</v>
      </c>
      <c r="B57" s="638" t="n">
        <v>1.23289439710819</v>
      </c>
      <c r="C57" s="639" t="n">
        <v>1998.96774193548</v>
      </c>
      <c r="D57" s="635" t="n">
        <v>31</v>
      </c>
      <c r="E57" s="636" t="n">
        <f aca="false">C57*D57</f>
        <v>61968</v>
      </c>
      <c r="F57" s="636"/>
      <c r="G57" s="636" t="n">
        <f aca="false">B57*E57</f>
        <v>76400</v>
      </c>
      <c r="H57" s="636"/>
    </row>
    <row r="58" customFormat="false" ht="15" hidden="false" customHeight="false" outlineLevel="0" collapsed="false">
      <c r="A58" s="652" t="s">
        <v>961</v>
      </c>
      <c r="B58" s="638" t="n">
        <v>1.60074335311385</v>
      </c>
      <c r="C58" s="639" t="n">
        <v>1578.43333333333</v>
      </c>
      <c r="D58" s="635" t="n">
        <v>30</v>
      </c>
      <c r="E58" s="636" t="n">
        <f aca="false">C58*D58</f>
        <v>47353</v>
      </c>
      <c r="F58" s="636"/>
      <c r="G58" s="636" t="n">
        <f aca="false">B58*E58</f>
        <v>75800</v>
      </c>
      <c r="H58" s="636"/>
    </row>
    <row r="59" customFormat="false" ht="15" hidden="false" customHeight="false" outlineLevel="0" collapsed="false">
      <c r="A59" s="652" t="s">
        <v>962</v>
      </c>
      <c r="B59" s="638" t="n">
        <v>1.84159956076135</v>
      </c>
      <c r="C59" s="639" t="n">
        <v>1410.06451612903</v>
      </c>
      <c r="D59" s="635" t="n">
        <v>31</v>
      </c>
      <c r="E59" s="636" t="n">
        <f aca="false">C59*D59</f>
        <v>43712</v>
      </c>
      <c r="F59" s="636"/>
      <c r="G59" s="636" t="n">
        <f aca="false">B59*E59</f>
        <v>80500</v>
      </c>
      <c r="H59" s="636"/>
    </row>
    <row r="60" customFormat="false" ht="15" hidden="false" customHeight="false" outlineLevel="0" collapsed="false">
      <c r="A60" s="652" t="s">
        <v>963</v>
      </c>
      <c r="B60" s="638" t="n">
        <v>1.84007576782573</v>
      </c>
      <c r="C60" s="639" t="n">
        <v>1192.09677419355</v>
      </c>
      <c r="D60" s="635" t="n">
        <v>31</v>
      </c>
      <c r="E60" s="636" t="n">
        <f aca="false">C60*D60</f>
        <v>36955</v>
      </c>
      <c r="F60" s="636"/>
      <c r="G60" s="636" t="n">
        <f aca="false">B60*E60</f>
        <v>68000</v>
      </c>
      <c r="H60" s="636"/>
    </row>
    <row r="61" customFormat="false" ht="15" hidden="false" customHeight="false" outlineLevel="0" collapsed="false">
      <c r="A61" s="652" t="s">
        <v>964</v>
      </c>
      <c r="B61" s="638" t="n">
        <v>1.24229448025975</v>
      </c>
      <c r="C61" s="639" t="n">
        <v>2125.1</v>
      </c>
      <c r="D61" s="635" t="n">
        <v>30</v>
      </c>
      <c r="E61" s="636" t="n">
        <f aca="false">C61*D61</f>
        <v>63753</v>
      </c>
      <c r="F61" s="636"/>
      <c r="G61" s="636" t="n">
        <f aca="false">B61*E61</f>
        <v>79200</v>
      </c>
      <c r="H61" s="636"/>
    </row>
    <row r="62" customFormat="false" ht="15" hidden="false" customHeight="false" outlineLevel="0" collapsed="false">
      <c r="A62" s="652" t="s">
        <v>965</v>
      </c>
      <c r="B62" s="638" t="n">
        <v>1.14168952903521</v>
      </c>
      <c r="C62" s="639" t="n">
        <v>2257.54838709677</v>
      </c>
      <c r="D62" s="635" t="n">
        <v>31</v>
      </c>
      <c r="E62" s="636" t="n">
        <f aca="false">C62*D62</f>
        <v>69984</v>
      </c>
      <c r="F62" s="636"/>
      <c r="G62" s="636" t="n">
        <f aca="false">B62*E62</f>
        <v>79900</v>
      </c>
      <c r="H62" s="636"/>
    </row>
    <row r="63" customFormat="false" ht="15" hidden="false" customHeight="false" outlineLevel="0" collapsed="false">
      <c r="A63" s="652" t="s">
        <v>966</v>
      </c>
      <c r="B63" s="638" t="n">
        <v>1.00713887635678</v>
      </c>
      <c r="C63" s="639" t="n">
        <v>2512.06666666667</v>
      </c>
      <c r="D63" s="635" t="n">
        <v>30</v>
      </c>
      <c r="E63" s="636" t="n">
        <f aca="false">C63*D63</f>
        <v>75362</v>
      </c>
      <c r="F63" s="636"/>
      <c r="G63" s="636" t="n">
        <f aca="false">B63*E63</f>
        <v>75900</v>
      </c>
      <c r="H63" s="636"/>
    </row>
    <row r="64" customFormat="false" ht="15.75" hidden="false" customHeight="false" outlineLevel="0" collapsed="false">
      <c r="A64" s="653" t="s">
        <v>967</v>
      </c>
      <c r="B64" s="654" t="n">
        <v>0.798180314309347</v>
      </c>
      <c r="C64" s="657" t="n">
        <v>3120</v>
      </c>
      <c r="D64" s="635" t="n">
        <v>31</v>
      </c>
      <c r="E64" s="636" t="n">
        <f aca="false">C64*D64</f>
        <v>96720</v>
      </c>
      <c r="F64" s="636"/>
      <c r="G64" s="636" t="n">
        <f aca="false">B64*E64</f>
        <v>77200</v>
      </c>
      <c r="H64" s="636"/>
    </row>
    <row r="65" customFormat="false" ht="15" hidden="false" customHeight="false" outlineLevel="0" collapsed="false">
      <c r="A65" s="650" t="s">
        <v>968</v>
      </c>
      <c r="B65" s="651" t="n">
        <v>0.974555431884658</v>
      </c>
      <c r="C65" s="655" t="n">
        <v>2688</v>
      </c>
      <c r="D65" s="635" t="n">
        <v>31</v>
      </c>
      <c r="E65" s="636" t="n">
        <f aca="false">C65*D65</f>
        <v>83328</v>
      </c>
      <c r="F65" s="636" t="n">
        <f aca="false">E65+E66+E67+E68+E69+E70+E71+E72+E73+E74+E75+E76</f>
        <v>843371</v>
      </c>
      <c r="G65" s="636" t="n">
        <f aca="false">B65*E65</f>
        <v>81207.7550280848</v>
      </c>
      <c r="H65" s="636" t="n">
        <f aca="false">G65+G66+G67+G68+G69+G70+G71+G72+G74+G73+G75+G76</f>
        <v>896605.85987474</v>
      </c>
    </row>
    <row r="66" customFormat="false" ht="15" hidden="false" customHeight="false" outlineLevel="0" collapsed="false">
      <c r="A66" s="652" t="s">
        <v>969</v>
      </c>
      <c r="B66" s="638" t="n">
        <v>0.996993419559791</v>
      </c>
      <c r="C66" s="639" t="n">
        <v>2518</v>
      </c>
      <c r="D66" s="635" t="n">
        <v>28</v>
      </c>
      <c r="E66" s="636" t="n">
        <f aca="false">C66*D66</f>
        <v>70504</v>
      </c>
      <c r="F66" s="636"/>
      <c r="G66" s="636" t="n">
        <f aca="false">B66*E66</f>
        <v>70292.0240526435</v>
      </c>
      <c r="H66" s="636"/>
    </row>
    <row r="67" customFormat="false" ht="15" hidden="false" customHeight="false" outlineLevel="0" collapsed="false">
      <c r="A67" s="652" t="s">
        <v>970</v>
      </c>
      <c r="B67" s="638" t="n">
        <v>0.995928376440105</v>
      </c>
      <c r="C67" s="639" t="n">
        <v>2789</v>
      </c>
      <c r="D67" s="635" t="n">
        <v>31</v>
      </c>
      <c r="E67" s="636" t="n">
        <f aca="false">C67*D67</f>
        <v>86459</v>
      </c>
      <c r="F67" s="636"/>
      <c r="G67" s="636" t="n">
        <f aca="false">B67*E67</f>
        <v>86106.9714986351</v>
      </c>
      <c r="H67" s="636"/>
    </row>
    <row r="68" customFormat="false" ht="15" hidden="false" customHeight="false" outlineLevel="0" collapsed="false">
      <c r="A68" s="652" t="s">
        <v>971</v>
      </c>
      <c r="B68" s="638" t="n">
        <v>0.875633603190237</v>
      </c>
      <c r="C68" s="639" t="n">
        <v>2775.13333333333</v>
      </c>
      <c r="D68" s="635" t="n">
        <v>30</v>
      </c>
      <c r="E68" s="636" t="n">
        <f aca="false">C68*D68</f>
        <v>83254</v>
      </c>
      <c r="F68" s="636"/>
      <c r="G68" s="636" t="n">
        <f aca="false">B68*E68</f>
        <v>72900</v>
      </c>
      <c r="H68" s="636"/>
    </row>
    <row r="69" customFormat="false" ht="15" hidden="false" customHeight="false" outlineLevel="0" collapsed="false">
      <c r="A69" s="652" t="s">
        <v>972</v>
      </c>
      <c r="B69" s="638" t="n">
        <v>1.22537201762408</v>
      </c>
      <c r="C69" s="639" t="n">
        <v>1940.16129032258</v>
      </c>
      <c r="D69" s="635" t="n">
        <v>31</v>
      </c>
      <c r="E69" s="636" t="n">
        <f aca="false">C69*D69</f>
        <v>60145</v>
      </c>
      <c r="F69" s="636"/>
      <c r="G69" s="636" t="n">
        <f aca="false">B69*E69</f>
        <v>73700</v>
      </c>
      <c r="H69" s="636"/>
    </row>
    <row r="70" customFormat="false" ht="15" hidden="false" customHeight="false" outlineLevel="0" collapsed="false">
      <c r="A70" s="652" t="s">
        <v>973</v>
      </c>
      <c r="B70" s="638" t="n">
        <v>1.6896</v>
      </c>
      <c r="C70" s="639" t="n">
        <v>1562.5</v>
      </c>
      <c r="D70" s="635" t="n">
        <v>30</v>
      </c>
      <c r="E70" s="636" t="n">
        <f aca="false">C70*D70</f>
        <v>46875</v>
      </c>
      <c r="F70" s="636"/>
      <c r="G70" s="636" t="n">
        <f aca="false">B70*E70</f>
        <v>79200</v>
      </c>
      <c r="H70" s="636"/>
    </row>
    <row r="71" customFormat="false" ht="15" hidden="false" customHeight="false" outlineLevel="0" collapsed="false">
      <c r="A71" s="652" t="s">
        <v>974</v>
      </c>
      <c r="B71" s="638" t="n">
        <v>1.3782340862423</v>
      </c>
      <c r="C71" s="639" t="n">
        <v>1963.70967741936</v>
      </c>
      <c r="D71" s="635" t="n">
        <v>31</v>
      </c>
      <c r="E71" s="636" t="n">
        <f aca="false">C71*D71</f>
        <v>60875</v>
      </c>
      <c r="F71" s="636"/>
      <c r="G71" s="636" t="n">
        <f aca="false">B71*E71</f>
        <v>83900</v>
      </c>
      <c r="H71" s="636"/>
    </row>
    <row r="72" customFormat="false" ht="15" hidden="false" customHeight="false" outlineLevel="0" collapsed="false">
      <c r="A72" s="652" t="s">
        <v>975</v>
      </c>
      <c r="B72" s="638" t="n">
        <v>1.61046083326512</v>
      </c>
      <c r="C72" s="639" t="n">
        <v>1576.38709677419</v>
      </c>
      <c r="D72" s="635" t="n">
        <v>31</v>
      </c>
      <c r="E72" s="636" t="n">
        <f aca="false">C72*D72</f>
        <v>48868</v>
      </c>
      <c r="F72" s="636"/>
      <c r="G72" s="636" t="n">
        <f aca="false">B72*E72</f>
        <v>78700</v>
      </c>
      <c r="H72" s="636"/>
    </row>
    <row r="73" customFormat="false" ht="15" hidden="false" customHeight="false" outlineLevel="0" collapsed="false">
      <c r="A73" s="652" t="s">
        <v>976</v>
      </c>
      <c r="B73" s="638" t="n">
        <v>0.890704623868574</v>
      </c>
      <c r="C73" s="639" t="n">
        <v>2309</v>
      </c>
      <c r="D73" s="635" t="n">
        <v>30</v>
      </c>
      <c r="E73" s="636" t="n">
        <f aca="false">C73*D73</f>
        <v>69270</v>
      </c>
      <c r="F73" s="636"/>
      <c r="G73" s="636" t="n">
        <f aca="false">B73*E73</f>
        <v>61699.1092953761</v>
      </c>
      <c r="H73" s="636"/>
    </row>
    <row r="74" customFormat="false" ht="15" hidden="false" customHeight="false" outlineLevel="0" collapsed="false">
      <c r="A74" s="652" t="s">
        <v>977</v>
      </c>
      <c r="B74" s="638" t="n">
        <v>0.812446898895497</v>
      </c>
      <c r="C74" s="639" t="n">
        <v>2429.93548387097</v>
      </c>
      <c r="D74" s="635" t="n">
        <v>31</v>
      </c>
      <c r="E74" s="636" t="n">
        <f aca="false">C74*D74</f>
        <v>75328</v>
      </c>
      <c r="F74" s="636"/>
      <c r="G74" s="636" t="n">
        <f aca="false">B74*E74</f>
        <v>61200</v>
      </c>
      <c r="H74" s="636"/>
    </row>
    <row r="75" customFormat="false" ht="15" hidden="false" customHeight="false" outlineLevel="0" collapsed="false">
      <c r="A75" s="652" t="s">
        <v>978</v>
      </c>
      <c r="B75" s="638" t="n">
        <v>0.979238999504003</v>
      </c>
      <c r="C75" s="639" t="n">
        <v>2352.16666666667</v>
      </c>
      <c r="D75" s="635" t="n">
        <v>30</v>
      </c>
      <c r="E75" s="636" t="n">
        <f aca="false">C75*D75</f>
        <v>70565</v>
      </c>
      <c r="F75" s="636"/>
      <c r="G75" s="636" t="n">
        <f aca="false">B75*E75</f>
        <v>69100</v>
      </c>
      <c r="H75" s="636"/>
    </row>
    <row r="76" customFormat="false" ht="15.75" hidden="false" customHeight="false" outlineLevel="0" collapsed="false">
      <c r="A76" s="653" t="s">
        <v>979</v>
      </c>
      <c r="B76" s="654" t="n">
        <v>0.89419795221843</v>
      </c>
      <c r="C76" s="657" t="n">
        <v>2835.48387096774</v>
      </c>
      <c r="D76" s="635" t="n">
        <v>31</v>
      </c>
      <c r="E76" s="636" t="n">
        <f aca="false">C76*D76</f>
        <v>87900</v>
      </c>
      <c r="F76" s="636"/>
      <c r="G76" s="636" t="n">
        <f aca="false">B76*E76</f>
        <v>78600</v>
      </c>
      <c r="H76" s="636"/>
    </row>
  </sheetData>
  <mergeCells count="8">
    <mergeCell ref="A1:C1"/>
    <mergeCell ref="B3:B4"/>
    <mergeCell ref="C3:C4"/>
    <mergeCell ref="D3:D4"/>
    <mergeCell ref="E3:E4"/>
    <mergeCell ref="F3:F4"/>
    <mergeCell ref="G3:G4"/>
    <mergeCell ref="H3:H4"/>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sheetPr filterMode="false">
    <pageSetUpPr fitToPage="false"/>
  </sheetPr>
  <dimension ref="A3:BF39"/>
  <sheetViews>
    <sheetView windowProtection="false" showFormulas="false" showGridLines="true" showRowColHeaders="true" showZeros="true" rightToLeft="false" tabSelected="false" showOutlineSymbols="true" defaultGridColor="true" view="normal" topLeftCell="AN1" colorId="64" zoomScale="100" zoomScaleNormal="100" zoomScalePageLayoutView="100" workbookViewId="0">
      <selection pane="topLeft" activeCell="AX25" activeCellId="0" sqref="AX25"/>
    </sheetView>
  </sheetViews>
  <sheetFormatPr defaultRowHeight="12.75"/>
  <cols>
    <col collapsed="false" hidden="false" max="1025" min="1" style="0" width="10.530612244898"/>
  </cols>
  <sheetData>
    <row r="3" customFormat="false" ht="12.75" hidden="false" customHeight="false" outlineLevel="0" collapsed="false">
      <c r="B3" s="0" t="s">
        <v>980</v>
      </c>
    </row>
    <row r="22" customFormat="false" ht="12.75" hidden="false" customHeight="false" outlineLevel="0" collapsed="false">
      <c r="AC22" s="240"/>
      <c r="AD22" s="240"/>
      <c r="AE22" s="240"/>
      <c r="AF22" s="240"/>
      <c r="AG22" s="240"/>
      <c r="AH22" s="240"/>
      <c r="AI22" s="240"/>
      <c r="AJ22" s="240"/>
      <c r="AK22" s="240"/>
    </row>
    <row r="23" customFormat="false" ht="12.75" hidden="false" customHeight="false" outlineLevel="0" collapsed="false">
      <c r="A23" s="240"/>
      <c r="B23" s="240"/>
      <c r="C23" s="240"/>
      <c r="D23" s="240"/>
      <c r="E23" s="240"/>
      <c r="F23" s="240"/>
      <c r="G23" s="240"/>
      <c r="H23" s="240"/>
      <c r="S23" s="240"/>
      <c r="T23" s="240"/>
      <c r="U23" s="240"/>
      <c r="V23" s="240"/>
      <c r="W23" s="240"/>
      <c r="X23" s="240"/>
      <c r="Y23" s="240"/>
      <c r="Z23" s="240"/>
      <c r="AA23" s="240"/>
      <c r="AC23" s="240"/>
      <c r="AD23" s="240"/>
      <c r="AE23" s="240"/>
      <c r="AF23" s="240"/>
      <c r="AG23" s="240"/>
      <c r="AH23" s="240"/>
      <c r="AI23" s="240"/>
      <c r="AJ23" s="240"/>
      <c r="AK23" s="240"/>
      <c r="AM23" s="240"/>
      <c r="AN23" s="240"/>
      <c r="AO23" s="240"/>
      <c r="AP23" s="240"/>
      <c r="AQ23" s="240"/>
      <c r="AR23" s="240"/>
      <c r="AS23" s="240"/>
      <c r="AT23" s="240"/>
      <c r="AU23" s="240"/>
      <c r="AV23" s="240"/>
    </row>
    <row r="24" customFormat="false" ht="12.75" hidden="false" customHeight="false" outlineLevel="0" collapsed="false">
      <c r="A24" s="240"/>
      <c r="B24" s="240"/>
      <c r="C24" s="240"/>
      <c r="D24" s="240"/>
      <c r="E24" s="240"/>
      <c r="F24" s="240"/>
      <c r="G24" s="240"/>
      <c r="H24" s="240"/>
      <c r="I24" s="240"/>
      <c r="J24" s="240"/>
      <c r="K24" s="240"/>
      <c r="L24" s="240"/>
      <c r="M24" s="240"/>
      <c r="N24" s="240"/>
      <c r="O24" s="240"/>
      <c r="P24" s="240"/>
      <c r="Q24" s="240"/>
      <c r="S24" s="240"/>
      <c r="T24" s="240"/>
      <c r="U24" s="240"/>
      <c r="V24" s="240"/>
      <c r="W24" s="240"/>
      <c r="X24" s="240"/>
      <c r="Y24" s="240"/>
      <c r="Z24" s="240"/>
      <c r="AA24" s="240"/>
      <c r="AC24" s="240"/>
      <c r="AD24" s="240"/>
      <c r="AE24" s="240"/>
      <c r="AF24" s="240"/>
      <c r="AG24" s="240"/>
      <c r="AH24" s="240"/>
      <c r="AI24" s="240"/>
      <c r="AJ24" s="240"/>
      <c r="AK24" s="240"/>
      <c r="AM24" s="240"/>
      <c r="AN24" s="240"/>
      <c r="AO24" s="240"/>
      <c r="AP24" s="240"/>
      <c r="AQ24" s="240"/>
      <c r="AR24" s="240"/>
      <c r="AS24" s="240"/>
      <c r="AT24" s="240"/>
      <c r="AU24" s="240"/>
      <c r="AV24" s="240"/>
      <c r="AW24" s="240"/>
      <c r="AX24" s="240"/>
      <c r="AY24" s="240"/>
      <c r="AZ24" s="240"/>
      <c r="BA24" s="240"/>
      <c r="BB24" s="240"/>
      <c r="BC24" s="240"/>
      <c r="BD24" s="240"/>
      <c r="BE24" s="240"/>
      <c r="BF24" s="240"/>
    </row>
    <row r="25" customFormat="false" ht="12.75" hidden="false" customHeight="false" outlineLevel="0" collapsed="false">
      <c r="A25" s="240"/>
      <c r="B25" s="240"/>
      <c r="C25" s="240"/>
      <c r="D25" s="240"/>
      <c r="E25" s="240"/>
      <c r="F25" s="240"/>
      <c r="G25" s="240"/>
      <c r="H25" s="240"/>
      <c r="I25" s="240"/>
      <c r="J25" s="240"/>
      <c r="K25" s="240"/>
      <c r="L25" s="240"/>
      <c r="M25" s="240"/>
      <c r="N25" s="240"/>
      <c r="O25" s="240"/>
      <c r="P25" s="240"/>
      <c r="Q25" s="240"/>
      <c r="S25" s="240"/>
      <c r="T25" s="240"/>
      <c r="U25" s="240"/>
      <c r="V25" s="240"/>
      <c r="W25" s="240"/>
      <c r="X25" s="240"/>
      <c r="Y25" s="240"/>
      <c r="Z25" s="240"/>
      <c r="AA25" s="240"/>
      <c r="AC25" s="240"/>
      <c r="AD25" s="240"/>
      <c r="AE25" s="240"/>
      <c r="AF25" s="240"/>
      <c r="AG25" s="240"/>
      <c r="AH25" s="240"/>
      <c r="AI25" s="240"/>
      <c r="AJ25" s="240"/>
      <c r="AK25" s="240"/>
      <c r="AM25" s="240"/>
      <c r="AN25" s="240"/>
      <c r="AO25" s="240"/>
      <c r="AP25" s="240"/>
      <c r="AQ25" s="240"/>
      <c r="AR25" s="240"/>
      <c r="AS25" s="240"/>
      <c r="AT25" s="240"/>
      <c r="AU25" s="240"/>
      <c r="AV25" s="240"/>
      <c r="AW25" s="240"/>
      <c r="AX25" s="240"/>
      <c r="AY25" s="240"/>
      <c r="AZ25" s="240"/>
      <c r="BA25" s="240"/>
      <c r="BB25" s="240"/>
      <c r="BC25" s="240"/>
      <c r="BD25" s="240"/>
      <c r="BE25" s="240"/>
      <c r="BF25" s="240"/>
    </row>
    <row r="26" customFormat="false" ht="12.75" hidden="false" customHeight="false" outlineLevel="0" collapsed="false">
      <c r="A26" s="240"/>
      <c r="B26" s="240"/>
      <c r="C26" s="240"/>
      <c r="D26" s="240"/>
      <c r="E26" s="240"/>
      <c r="F26" s="240"/>
      <c r="G26" s="240"/>
      <c r="H26" s="240"/>
      <c r="I26" s="240"/>
      <c r="J26" s="240"/>
      <c r="K26" s="240"/>
      <c r="L26" s="240"/>
      <c r="M26" s="240"/>
      <c r="N26" s="240"/>
      <c r="O26" s="240"/>
      <c r="P26" s="240"/>
      <c r="Q26" s="240"/>
      <c r="S26" s="240"/>
      <c r="T26" s="240"/>
      <c r="U26" s="240"/>
      <c r="V26" s="240"/>
      <c r="W26" s="240"/>
      <c r="X26" s="240"/>
      <c r="Y26" s="240"/>
      <c r="Z26" s="240"/>
      <c r="AA26" s="240"/>
      <c r="AC26" s="240"/>
      <c r="AD26" s="240"/>
      <c r="AE26" s="240"/>
      <c r="AF26" s="240"/>
      <c r="AG26" s="240"/>
      <c r="AH26" s="240"/>
      <c r="AI26" s="240"/>
      <c r="AJ26" s="240"/>
      <c r="AK26" s="240"/>
      <c r="AM26" s="240"/>
      <c r="AN26" s="240"/>
      <c r="AO26" s="240"/>
      <c r="AP26" s="240"/>
      <c r="AQ26" s="240"/>
      <c r="AR26" s="240"/>
      <c r="AS26" s="240"/>
      <c r="AT26" s="240"/>
      <c r="AU26" s="240"/>
      <c r="AV26" s="240"/>
      <c r="AW26" s="240"/>
      <c r="AX26" s="240"/>
      <c r="AY26" s="240"/>
      <c r="AZ26" s="240"/>
      <c r="BA26" s="240"/>
      <c r="BB26" s="240"/>
      <c r="BC26" s="240"/>
      <c r="BD26" s="240"/>
      <c r="BE26" s="240"/>
      <c r="BF26" s="240"/>
    </row>
    <row r="27" customFormat="false" ht="12.75" hidden="false" customHeight="false" outlineLevel="0" collapsed="false">
      <c r="A27" s="240"/>
      <c r="B27" s="240"/>
      <c r="C27" s="240"/>
      <c r="D27" s="240"/>
      <c r="E27" s="240"/>
      <c r="F27" s="240"/>
      <c r="G27" s="240"/>
      <c r="H27" s="240"/>
      <c r="I27" s="240"/>
      <c r="J27" s="240"/>
      <c r="K27" s="240"/>
      <c r="L27" s="240"/>
      <c r="M27" s="240"/>
      <c r="N27" s="240"/>
      <c r="O27" s="240"/>
      <c r="P27" s="240"/>
      <c r="Q27" s="240"/>
      <c r="S27" s="240"/>
      <c r="T27" s="240"/>
      <c r="U27" s="240"/>
      <c r="V27" s="240"/>
      <c r="W27" s="240"/>
      <c r="X27" s="240"/>
      <c r="Y27" s="240"/>
      <c r="Z27" s="240"/>
      <c r="AA27" s="240"/>
      <c r="AC27" s="240"/>
      <c r="AD27" s="240"/>
      <c r="AE27" s="240"/>
      <c r="AF27" s="240"/>
      <c r="AG27" s="240"/>
      <c r="AH27" s="240"/>
      <c r="AI27" s="240"/>
      <c r="AJ27" s="240"/>
      <c r="AK27" s="240"/>
      <c r="AM27" s="240"/>
      <c r="AN27" s="240"/>
      <c r="AO27" s="240"/>
      <c r="AP27" s="240"/>
      <c r="AQ27" s="240"/>
      <c r="AR27" s="240"/>
      <c r="AS27" s="240"/>
      <c r="AT27" s="240"/>
      <c r="AU27" s="240"/>
      <c r="AV27" s="240"/>
      <c r="AW27" s="240"/>
      <c r="AX27" s="240"/>
      <c r="AY27" s="240"/>
      <c r="AZ27" s="240"/>
      <c r="BA27" s="240"/>
      <c r="BB27" s="240"/>
      <c r="BC27" s="240"/>
      <c r="BD27" s="240"/>
      <c r="BE27" s="240"/>
      <c r="BF27" s="240"/>
    </row>
    <row r="28" customFormat="false" ht="12.75" hidden="false" customHeight="false" outlineLevel="0" collapsed="false">
      <c r="A28" s="240"/>
      <c r="B28" s="240"/>
      <c r="C28" s="240"/>
      <c r="D28" s="240"/>
      <c r="E28" s="240"/>
      <c r="F28" s="240"/>
      <c r="G28" s="240"/>
      <c r="H28" s="240"/>
      <c r="I28" s="240"/>
      <c r="J28" s="240"/>
      <c r="K28" s="240"/>
      <c r="L28" s="240"/>
      <c r="M28" s="240"/>
      <c r="N28" s="240"/>
      <c r="O28" s="240"/>
      <c r="P28" s="240"/>
      <c r="Q28" s="240"/>
      <c r="S28" s="240"/>
      <c r="T28" s="240"/>
      <c r="U28" s="240"/>
      <c r="V28" s="240"/>
      <c r="W28" s="240"/>
      <c r="X28" s="240"/>
      <c r="Y28" s="240"/>
      <c r="Z28" s="240"/>
      <c r="AA28" s="240"/>
      <c r="AC28" s="240"/>
      <c r="AD28" s="240"/>
      <c r="AE28" s="240"/>
      <c r="AF28" s="240"/>
      <c r="AG28" s="240"/>
      <c r="AH28" s="240"/>
      <c r="AI28" s="240"/>
      <c r="AJ28" s="240"/>
      <c r="AK28" s="240"/>
      <c r="AM28" s="240"/>
      <c r="AN28" s="240"/>
      <c r="AO28" s="240"/>
      <c r="AP28" s="240"/>
      <c r="AQ28" s="240"/>
      <c r="AR28" s="240"/>
      <c r="AS28" s="240"/>
      <c r="AT28" s="240"/>
      <c r="AU28" s="240"/>
      <c r="AV28" s="240"/>
      <c r="AW28" s="240"/>
      <c r="AX28" s="240"/>
      <c r="AY28" s="240"/>
      <c r="AZ28" s="240"/>
      <c r="BA28" s="240"/>
      <c r="BB28" s="240"/>
      <c r="BC28" s="240"/>
      <c r="BD28" s="240"/>
      <c r="BE28" s="240"/>
      <c r="BF28" s="240"/>
    </row>
    <row r="29" customFormat="false" ht="12.75" hidden="false" customHeight="false" outlineLevel="0" collapsed="false">
      <c r="A29" s="240"/>
      <c r="B29" s="240"/>
      <c r="C29" s="240"/>
      <c r="D29" s="240"/>
      <c r="E29" s="240"/>
      <c r="F29" s="240"/>
      <c r="G29" s="240"/>
      <c r="H29" s="240"/>
      <c r="I29" s="240"/>
      <c r="J29" s="240"/>
      <c r="K29" s="240"/>
      <c r="L29" s="240"/>
      <c r="M29" s="240"/>
      <c r="N29" s="240"/>
      <c r="O29" s="240"/>
      <c r="P29" s="240"/>
      <c r="Q29" s="240"/>
      <c r="S29" s="240"/>
      <c r="T29" s="240"/>
      <c r="U29" s="240"/>
      <c r="V29" s="240"/>
      <c r="W29" s="240"/>
      <c r="X29" s="240"/>
      <c r="Y29" s="240"/>
      <c r="Z29" s="240"/>
      <c r="AA29" s="240"/>
      <c r="AC29" s="240"/>
      <c r="AD29" s="240"/>
      <c r="AE29" s="240"/>
      <c r="AF29" s="240"/>
      <c r="AG29" s="240"/>
      <c r="AH29" s="240"/>
      <c r="AI29" s="240"/>
      <c r="AJ29" s="240"/>
      <c r="AK29" s="240"/>
      <c r="AM29" s="240"/>
      <c r="AN29" s="240"/>
      <c r="AO29" s="240"/>
      <c r="AP29" s="240"/>
      <c r="AQ29" s="240"/>
      <c r="AR29" s="240"/>
      <c r="AS29" s="240"/>
      <c r="AT29" s="240"/>
      <c r="AU29" s="240"/>
      <c r="AV29" s="240"/>
      <c r="AW29" s="240"/>
      <c r="AX29" s="240"/>
      <c r="AY29" s="240"/>
      <c r="AZ29" s="240"/>
      <c r="BA29" s="240"/>
      <c r="BB29" s="240"/>
      <c r="BC29" s="240"/>
      <c r="BD29" s="240"/>
      <c r="BE29" s="240"/>
      <c r="BF29" s="240"/>
    </row>
    <row r="30" customFormat="false" ht="12.75" hidden="false" customHeight="false" outlineLevel="0" collapsed="false">
      <c r="A30" s="240"/>
      <c r="B30" s="240"/>
      <c r="C30" s="240"/>
      <c r="D30" s="240"/>
      <c r="E30" s="240"/>
      <c r="F30" s="240"/>
      <c r="G30" s="240"/>
      <c r="H30" s="240"/>
      <c r="I30" s="240"/>
      <c r="J30" s="240"/>
      <c r="K30" s="240"/>
      <c r="L30" s="240"/>
      <c r="M30" s="240"/>
      <c r="N30" s="240"/>
      <c r="O30" s="240"/>
      <c r="P30" s="240"/>
      <c r="Q30" s="240"/>
      <c r="S30" s="240"/>
      <c r="T30" s="240"/>
      <c r="U30" s="240"/>
      <c r="V30" s="240"/>
      <c r="W30" s="240"/>
      <c r="X30" s="240"/>
      <c r="Y30" s="240"/>
      <c r="Z30" s="240"/>
      <c r="AA30" s="240"/>
      <c r="AC30" s="240"/>
      <c r="AD30" s="240"/>
      <c r="AE30" s="240"/>
      <c r="AF30" s="240"/>
      <c r="AG30" s="240"/>
      <c r="AH30" s="240"/>
      <c r="AI30" s="240"/>
      <c r="AJ30" s="240"/>
      <c r="AK30" s="240"/>
      <c r="AM30" s="240"/>
      <c r="AN30" s="240"/>
      <c r="AO30" s="240"/>
      <c r="AP30" s="240"/>
      <c r="AQ30" s="240"/>
      <c r="AR30" s="240"/>
      <c r="AS30" s="240"/>
      <c r="AT30" s="240"/>
      <c r="AU30" s="240"/>
      <c r="AV30" s="240"/>
      <c r="AW30" s="240"/>
      <c r="AX30" s="240"/>
      <c r="AY30" s="240"/>
      <c r="AZ30" s="240"/>
      <c r="BA30" s="240"/>
      <c r="BB30" s="240"/>
      <c r="BC30" s="240"/>
      <c r="BD30" s="240"/>
      <c r="BE30" s="240"/>
      <c r="BF30" s="240"/>
    </row>
    <row r="31" customFormat="false" ht="12.75" hidden="false" customHeight="false" outlineLevel="0" collapsed="false">
      <c r="A31" s="240"/>
      <c r="B31" s="240"/>
      <c r="C31" s="240"/>
      <c r="D31" s="240"/>
      <c r="E31" s="240"/>
      <c r="F31" s="240"/>
      <c r="G31" s="240"/>
      <c r="H31" s="240"/>
      <c r="I31" s="240"/>
      <c r="J31" s="240"/>
      <c r="K31" s="240"/>
      <c r="L31" s="240"/>
      <c r="M31" s="240"/>
      <c r="N31" s="240"/>
      <c r="O31" s="240"/>
      <c r="P31" s="240"/>
      <c r="Q31" s="240"/>
      <c r="S31" s="240"/>
      <c r="T31" s="240"/>
      <c r="U31" s="240"/>
      <c r="V31" s="240"/>
      <c r="W31" s="240"/>
      <c r="X31" s="240"/>
      <c r="Y31" s="240"/>
      <c r="Z31" s="240"/>
      <c r="AA31" s="240"/>
      <c r="AC31" s="240"/>
      <c r="AD31" s="240"/>
      <c r="AE31" s="240"/>
      <c r="AF31" s="240"/>
      <c r="AG31" s="240"/>
      <c r="AH31" s="240"/>
      <c r="AI31" s="240"/>
      <c r="AJ31" s="240"/>
      <c r="AK31" s="240"/>
      <c r="AM31" s="240"/>
      <c r="AN31" s="240"/>
      <c r="AO31" s="240"/>
      <c r="AP31" s="240"/>
      <c r="AQ31" s="240"/>
      <c r="AR31" s="240"/>
      <c r="AS31" s="240"/>
      <c r="AT31" s="240"/>
      <c r="AU31" s="240"/>
      <c r="AV31" s="240"/>
      <c r="AW31" s="240"/>
      <c r="AX31" s="240"/>
      <c r="AY31" s="240"/>
      <c r="AZ31" s="240"/>
      <c r="BA31" s="240"/>
      <c r="BB31" s="240"/>
      <c r="BC31" s="240"/>
      <c r="BD31" s="240"/>
      <c r="BE31" s="240"/>
      <c r="BF31" s="240"/>
    </row>
    <row r="32" customFormat="false" ht="12.75" hidden="false" customHeight="false" outlineLevel="0" collapsed="false">
      <c r="A32" s="240"/>
      <c r="B32" s="240"/>
      <c r="C32" s="240"/>
      <c r="D32" s="240"/>
      <c r="E32" s="240"/>
      <c r="F32" s="240"/>
      <c r="G32" s="240"/>
      <c r="H32" s="240"/>
      <c r="I32" s="240"/>
      <c r="J32" s="240"/>
      <c r="K32" s="240"/>
      <c r="L32" s="240"/>
      <c r="M32" s="240"/>
      <c r="N32" s="240"/>
      <c r="O32" s="240"/>
      <c r="P32" s="240"/>
      <c r="Q32" s="240"/>
      <c r="S32" s="240"/>
      <c r="T32" s="240"/>
      <c r="U32" s="240"/>
      <c r="V32" s="240"/>
      <c r="W32" s="240"/>
      <c r="X32" s="240"/>
      <c r="Y32" s="240"/>
      <c r="Z32" s="240"/>
      <c r="AA32" s="240"/>
      <c r="AC32" s="240"/>
      <c r="AD32" s="240"/>
      <c r="AE32" s="240"/>
      <c r="AF32" s="240"/>
      <c r="AG32" s="240"/>
      <c r="AH32" s="240"/>
      <c r="AI32" s="240"/>
      <c r="AJ32" s="240"/>
      <c r="AK32" s="240"/>
      <c r="AM32" s="240"/>
      <c r="AN32" s="240"/>
      <c r="AO32" s="240"/>
      <c r="AP32" s="240"/>
      <c r="AQ32" s="240"/>
      <c r="AR32" s="240"/>
      <c r="AS32" s="240"/>
      <c r="AT32" s="240"/>
      <c r="AU32" s="240"/>
      <c r="AV32" s="240"/>
      <c r="AW32" s="240"/>
      <c r="AX32" s="240"/>
      <c r="AY32" s="240"/>
      <c r="AZ32" s="240"/>
      <c r="BA32" s="240"/>
      <c r="BB32" s="240"/>
      <c r="BC32" s="240"/>
      <c r="BD32" s="240"/>
      <c r="BE32" s="240"/>
      <c r="BF32" s="240"/>
    </row>
    <row r="33" customFormat="false" ht="12.75" hidden="false" customHeight="false" outlineLevel="0" collapsed="false">
      <c r="A33" s="240"/>
      <c r="B33" s="240"/>
      <c r="C33" s="240"/>
      <c r="D33" s="240"/>
      <c r="E33" s="240"/>
      <c r="F33" s="240"/>
      <c r="G33" s="240"/>
      <c r="H33" s="240"/>
      <c r="I33" s="240"/>
      <c r="J33" s="240"/>
      <c r="K33" s="240"/>
      <c r="L33" s="240"/>
      <c r="M33" s="240"/>
      <c r="N33" s="240"/>
      <c r="O33" s="240"/>
      <c r="P33" s="240"/>
      <c r="Q33" s="240"/>
      <c r="S33" s="240"/>
      <c r="T33" s="240"/>
      <c r="U33" s="240"/>
      <c r="V33" s="240"/>
      <c r="W33" s="240"/>
      <c r="X33" s="240"/>
      <c r="Y33" s="240"/>
      <c r="Z33" s="240"/>
      <c r="AA33" s="240"/>
      <c r="AC33" s="240"/>
      <c r="AD33" s="240"/>
      <c r="AE33" s="240"/>
      <c r="AF33" s="240"/>
      <c r="AG33" s="240"/>
      <c r="AH33" s="240"/>
      <c r="AI33" s="240"/>
      <c r="AJ33" s="240"/>
      <c r="AK33" s="240"/>
      <c r="AM33" s="240"/>
      <c r="AN33" s="240"/>
      <c r="AO33" s="240"/>
      <c r="AP33" s="240"/>
      <c r="AQ33" s="240"/>
      <c r="AR33" s="240"/>
      <c r="AS33" s="240"/>
      <c r="AT33" s="240"/>
      <c r="AU33" s="240"/>
      <c r="AV33" s="240"/>
      <c r="AW33" s="240"/>
      <c r="AX33" s="240"/>
      <c r="AY33" s="240"/>
      <c r="AZ33" s="240"/>
      <c r="BA33" s="240"/>
      <c r="BB33" s="240"/>
      <c r="BC33" s="240"/>
      <c r="BD33" s="240"/>
      <c r="BE33" s="240"/>
      <c r="BF33" s="240"/>
    </row>
    <row r="34" customFormat="false" ht="12.75" hidden="false" customHeight="false" outlineLevel="0" collapsed="false">
      <c r="A34" s="240"/>
      <c r="B34" s="240"/>
      <c r="C34" s="240"/>
      <c r="D34" s="240"/>
      <c r="E34" s="240"/>
      <c r="F34" s="240"/>
      <c r="G34" s="240"/>
      <c r="H34" s="240"/>
      <c r="I34" s="240"/>
      <c r="J34" s="240"/>
      <c r="K34" s="240"/>
      <c r="L34" s="240"/>
      <c r="M34" s="240"/>
      <c r="N34" s="240"/>
      <c r="O34" s="240"/>
      <c r="P34" s="240"/>
      <c r="Q34" s="240"/>
      <c r="S34" s="240"/>
      <c r="T34" s="240"/>
      <c r="U34" s="240"/>
      <c r="V34" s="240"/>
      <c r="W34" s="240"/>
      <c r="X34" s="240"/>
      <c r="Y34" s="240"/>
      <c r="Z34" s="240"/>
      <c r="AA34" s="240"/>
      <c r="AC34" s="240"/>
      <c r="AD34" s="240"/>
      <c r="AE34" s="240"/>
      <c r="AF34" s="240"/>
      <c r="AG34" s="240"/>
      <c r="AH34" s="240"/>
      <c r="AI34" s="240"/>
      <c r="AJ34" s="240"/>
      <c r="AK34" s="240"/>
      <c r="AM34" s="240"/>
      <c r="AN34" s="240"/>
      <c r="AO34" s="240"/>
      <c r="AP34" s="240"/>
      <c r="AQ34" s="240"/>
      <c r="AR34" s="240"/>
      <c r="AS34" s="240"/>
      <c r="AT34" s="240"/>
      <c r="AU34" s="240"/>
      <c r="AV34" s="240"/>
      <c r="AW34" s="240"/>
      <c r="AX34" s="240"/>
      <c r="AY34" s="240"/>
      <c r="AZ34" s="240"/>
      <c r="BA34" s="240"/>
      <c r="BB34" s="240"/>
      <c r="BC34" s="240"/>
      <c r="BD34" s="240"/>
      <c r="BE34" s="240"/>
      <c r="BF34" s="240"/>
    </row>
    <row r="35" customFormat="false" ht="12.75" hidden="false" customHeight="false" outlineLevel="0" collapsed="false">
      <c r="A35" s="240"/>
      <c r="B35" s="240"/>
      <c r="C35" s="240"/>
      <c r="D35" s="240"/>
      <c r="E35" s="240"/>
      <c r="F35" s="240"/>
      <c r="G35" s="240"/>
      <c r="H35" s="240"/>
      <c r="I35" s="240"/>
      <c r="J35" s="240"/>
      <c r="K35" s="240"/>
      <c r="L35" s="240"/>
      <c r="M35" s="240"/>
      <c r="N35" s="240"/>
      <c r="O35" s="240"/>
      <c r="P35" s="240"/>
      <c r="Q35" s="240"/>
      <c r="S35" s="240"/>
      <c r="T35" s="240"/>
      <c r="U35" s="240"/>
      <c r="V35" s="240"/>
      <c r="W35" s="240"/>
      <c r="X35" s="240"/>
      <c r="Y35" s="240"/>
      <c r="Z35" s="240"/>
      <c r="AA35" s="240"/>
      <c r="AC35" s="240"/>
      <c r="AD35" s="240"/>
      <c r="AE35" s="240"/>
      <c r="AF35" s="240"/>
      <c r="AG35" s="240"/>
      <c r="AH35" s="240"/>
      <c r="AI35" s="240"/>
      <c r="AJ35" s="240"/>
      <c r="AK35" s="240"/>
      <c r="AM35" s="240"/>
      <c r="AN35" s="240"/>
      <c r="AO35" s="240"/>
      <c r="AP35" s="240"/>
      <c r="AQ35" s="240"/>
      <c r="AR35" s="240"/>
      <c r="AS35" s="240"/>
      <c r="AT35" s="240"/>
      <c r="AU35" s="240"/>
      <c r="AV35" s="240"/>
      <c r="AW35" s="240"/>
      <c r="AX35" s="240"/>
      <c r="AY35" s="240"/>
      <c r="AZ35" s="240"/>
      <c r="BA35" s="240"/>
      <c r="BB35" s="240"/>
      <c r="BC35" s="240"/>
      <c r="BD35" s="240"/>
      <c r="BE35" s="240"/>
      <c r="BF35" s="240"/>
    </row>
    <row r="36" customFormat="false" ht="12.75" hidden="false" customHeight="false" outlineLevel="0" collapsed="false">
      <c r="A36" s="240"/>
      <c r="B36" s="240"/>
      <c r="C36" s="240"/>
      <c r="D36" s="240"/>
      <c r="E36" s="240"/>
      <c r="F36" s="240"/>
      <c r="G36" s="240"/>
      <c r="H36" s="240"/>
      <c r="I36" s="240"/>
      <c r="J36" s="240"/>
      <c r="K36" s="240"/>
      <c r="L36" s="240"/>
      <c r="M36" s="240"/>
      <c r="N36" s="240"/>
      <c r="O36" s="240"/>
      <c r="P36" s="240"/>
      <c r="Q36" s="240"/>
      <c r="S36" s="240"/>
      <c r="T36" s="240"/>
      <c r="U36" s="240"/>
      <c r="V36" s="240"/>
      <c r="W36" s="240"/>
      <c r="X36" s="240"/>
      <c r="Y36" s="240"/>
      <c r="Z36" s="240"/>
      <c r="AA36" s="240"/>
      <c r="AM36" s="240"/>
      <c r="AN36" s="240"/>
      <c r="AO36" s="240"/>
      <c r="AP36" s="240"/>
      <c r="AQ36" s="240"/>
      <c r="AR36" s="240"/>
      <c r="AS36" s="240"/>
      <c r="AT36" s="240"/>
      <c r="AU36" s="240"/>
      <c r="AV36" s="240"/>
      <c r="AW36" s="240"/>
      <c r="AX36" s="240"/>
      <c r="AY36" s="240"/>
      <c r="AZ36" s="240"/>
      <c r="BA36" s="240"/>
      <c r="BB36" s="240"/>
      <c r="BC36" s="240"/>
      <c r="BD36" s="240"/>
      <c r="BE36" s="240"/>
      <c r="BF36" s="240"/>
    </row>
    <row r="37" customFormat="false" ht="12.75" hidden="false" customHeight="false" outlineLevel="0" collapsed="false">
      <c r="A37" s="240"/>
      <c r="B37" s="240"/>
      <c r="C37" s="240"/>
      <c r="D37" s="240"/>
      <c r="E37" s="240"/>
      <c r="F37" s="240"/>
      <c r="G37" s="240"/>
      <c r="H37" s="240"/>
      <c r="I37" s="240"/>
      <c r="J37" s="240"/>
      <c r="K37" s="240"/>
      <c r="L37" s="240"/>
      <c r="M37" s="240"/>
      <c r="N37" s="240"/>
      <c r="O37" s="240"/>
      <c r="P37" s="240"/>
      <c r="Q37" s="240"/>
      <c r="S37" s="240"/>
      <c r="T37" s="240"/>
      <c r="U37" s="240"/>
      <c r="V37" s="240"/>
      <c r="W37" s="240"/>
      <c r="X37" s="240"/>
      <c r="Y37" s="240"/>
      <c r="Z37" s="240"/>
      <c r="AA37" s="240"/>
      <c r="AW37" s="240"/>
      <c r="AX37" s="240"/>
      <c r="AY37" s="240"/>
      <c r="AZ37" s="240"/>
      <c r="BA37" s="240"/>
      <c r="BB37" s="240"/>
      <c r="BC37" s="240"/>
      <c r="BD37" s="240"/>
      <c r="BE37" s="240"/>
      <c r="BF37" s="240"/>
    </row>
    <row r="38" customFormat="false" ht="12.75" hidden="false" customHeight="false" outlineLevel="0" collapsed="false">
      <c r="A38" s="240"/>
      <c r="B38" s="240"/>
      <c r="C38" s="240"/>
      <c r="D38" s="240"/>
      <c r="E38" s="240"/>
      <c r="F38" s="240"/>
      <c r="G38" s="240"/>
      <c r="H38" s="240"/>
      <c r="I38" s="240"/>
      <c r="J38" s="240"/>
      <c r="K38" s="240"/>
      <c r="L38" s="240"/>
      <c r="M38" s="240"/>
      <c r="N38" s="240"/>
      <c r="O38" s="240"/>
      <c r="P38" s="240"/>
      <c r="Q38" s="240"/>
      <c r="AW38" s="240"/>
      <c r="AX38" s="240"/>
      <c r="AY38" s="240"/>
      <c r="AZ38" s="240"/>
      <c r="BA38" s="240"/>
      <c r="BB38" s="240"/>
      <c r="BC38" s="240"/>
      <c r="BD38" s="240"/>
      <c r="BE38" s="240"/>
      <c r="BF38" s="240"/>
    </row>
    <row r="39" customFormat="false" ht="12.75" hidden="false" customHeight="false" outlineLevel="0" collapsed="false">
      <c r="I39" s="240"/>
      <c r="J39" s="240"/>
      <c r="K39" s="240"/>
      <c r="L39" s="240"/>
      <c r="M39" s="240"/>
      <c r="N39" s="240"/>
      <c r="O39" s="240"/>
      <c r="P39" s="240"/>
      <c r="Q39" s="240"/>
      <c r="AW39" s="240"/>
      <c r="AX39" s="240"/>
      <c r="AY39" s="240"/>
      <c r="AZ39" s="240"/>
      <c r="BA39" s="240"/>
      <c r="BB39" s="240"/>
      <c r="BC39" s="240"/>
      <c r="BD39" s="240"/>
      <c r="BE39" s="240"/>
      <c r="BF39" s="240"/>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1"/>
</worksheet>
</file>

<file path=xl/worksheets/sheet28.xml><?xml version="1.0" encoding="utf-8"?>
<worksheet xmlns="http://schemas.openxmlformats.org/spreadsheetml/2006/main" xmlns:r="http://schemas.openxmlformats.org/officeDocument/2006/relationships">
  <sheetPr filterMode="false">
    <pageSetUpPr fitToPage="false"/>
  </sheetPr>
  <dimension ref="A1:T106"/>
  <sheetViews>
    <sheetView windowProtection="false" showFormulas="false" showGridLines="false" showRowColHeaders="true" showZeros="true" rightToLeft="false" tabSelected="false" showOutlineSymbols="true" defaultGridColor="true" view="normal" topLeftCell="A1" colorId="64" zoomScale="70" zoomScaleNormal="70" zoomScalePageLayoutView="50" workbookViewId="0">
      <selection pane="topLeft" activeCell="G24" activeCellId="0" sqref="G24"/>
    </sheetView>
  </sheetViews>
  <sheetFormatPr defaultRowHeight="12.75"/>
  <cols>
    <col collapsed="false" hidden="false" max="1" min="1" style="659" width="3.23979591836735"/>
    <col collapsed="false" hidden="false" max="2" min="2" style="659" width="55.4795918367347"/>
    <col collapsed="false" hidden="false" max="3" min="3" style="659" width="12.8265306122449"/>
    <col collapsed="false" hidden="false" max="4" min="4" style="659" width="12.5561224489796"/>
    <col collapsed="false" hidden="false" max="5" min="5" style="659" width="11.3418367346939"/>
    <col collapsed="false" hidden="false" max="6" min="6" style="659" width="10.9336734693878"/>
    <col collapsed="false" hidden="false" max="7" min="7" style="659" width="11.0714285714286"/>
    <col collapsed="false" hidden="false" max="8" min="8" style="659" width="9.98979591836735"/>
    <col collapsed="false" hidden="false" max="9" min="9" style="659" width="9.44897959183673"/>
    <col collapsed="false" hidden="false" max="10" min="10" style="659" width="10.530612244898"/>
    <col collapsed="false" hidden="false" max="11" min="11" style="659" width="8.36734693877551"/>
    <col collapsed="false" hidden="false" max="12" min="12" style="659" width="12.2857142857143"/>
    <col collapsed="false" hidden="false" max="14" min="13" style="659" width="11.0714285714286"/>
    <col collapsed="false" hidden="false" max="15" min="15" style="659" width="10.2602040816327"/>
    <col collapsed="false" hidden="false" max="16" min="16" style="659" width="11.2040816326531"/>
    <col collapsed="false" hidden="false" max="18" min="17" style="659" width="12.4183673469388"/>
    <col collapsed="false" hidden="false" max="1025" min="19" style="659" width="11.2040816326531"/>
  </cols>
  <sheetData>
    <row r="1" customFormat="false" ht="56.25" hidden="false" customHeight="true" outlineLevel="0" collapsed="false">
      <c r="A1" s="660" t="s">
        <v>981</v>
      </c>
      <c r="B1" s="660"/>
      <c r="C1" s="660"/>
      <c r="D1" s="660"/>
      <c r="E1" s="660"/>
      <c r="F1" s="660"/>
      <c r="G1" s="660"/>
      <c r="H1" s="660"/>
      <c r="I1" s="660"/>
      <c r="J1" s="660"/>
      <c r="K1" s="660"/>
      <c r="L1" s="660"/>
      <c r="M1" s="660"/>
      <c r="N1" s="660"/>
      <c r="O1" s="660"/>
      <c r="P1" s="660"/>
      <c r="Q1" s="660"/>
      <c r="R1" s="660"/>
    </row>
    <row r="2" customFormat="false" ht="11.25" hidden="false" customHeight="true" outlineLevel="0" collapsed="false">
      <c r="A2" s="660"/>
      <c r="B2" s="660"/>
      <c r="C2" s="660"/>
      <c r="D2" s="660"/>
      <c r="E2" s="660"/>
      <c r="F2" s="660"/>
      <c r="G2" s="660"/>
      <c r="H2" s="660"/>
      <c r="I2" s="660"/>
      <c r="J2" s="660"/>
      <c r="K2" s="660"/>
      <c r="L2" s="660"/>
      <c r="M2" s="660"/>
      <c r="N2" s="660"/>
      <c r="O2" s="660"/>
      <c r="P2" s="660"/>
      <c r="Q2" s="660"/>
      <c r="R2" s="660"/>
    </row>
    <row r="3" customFormat="false" ht="28.5" hidden="false" customHeight="true" outlineLevel="0" collapsed="false">
      <c r="A3" s="661"/>
      <c r="B3" s="661"/>
      <c r="C3" s="661"/>
      <c r="D3" s="661"/>
      <c r="E3" s="661"/>
      <c r="F3" s="661"/>
      <c r="G3" s="661"/>
      <c r="H3" s="661"/>
      <c r="I3" s="661"/>
      <c r="J3" s="662"/>
      <c r="K3" s="662"/>
    </row>
    <row r="4" customFormat="false" ht="24.95" hidden="false" customHeight="true" outlineLevel="0" collapsed="false">
      <c r="A4" s="663" t="s">
        <v>982</v>
      </c>
      <c r="B4" s="663"/>
      <c r="C4" s="663"/>
      <c r="D4" s="663"/>
      <c r="E4" s="663"/>
      <c r="F4" s="663"/>
      <c r="G4" s="663"/>
      <c r="H4" s="663"/>
      <c r="I4" s="663"/>
      <c r="J4" s="663"/>
      <c r="K4" s="663"/>
      <c r="L4" s="663"/>
      <c r="M4" s="663"/>
      <c r="N4" s="663"/>
      <c r="O4" s="663"/>
      <c r="P4" s="663"/>
      <c r="Q4" s="663"/>
      <c r="R4" s="663"/>
    </row>
    <row r="5" customFormat="false" ht="9" hidden="false" customHeight="true" outlineLevel="0" collapsed="false">
      <c r="A5" s="661"/>
      <c r="B5" s="661"/>
      <c r="C5" s="661"/>
      <c r="D5" s="661"/>
      <c r="E5" s="661"/>
      <c r="F5" s="661"/>
      <c r="G5" s="661"/>
      <c r="H5" s="661"/>
      <c r="I5" s="661"/>
      <c r="J5" s="661"/>
      <c r="K5" s="661"/>
      <c r="L5" s="661"/>
      <c r="M5" s="661"/>
      <c r="N5" s="661"/>
      <c r="O5" s="661"/>
      <c r="P5" s="661"/>
      <c r="Q5" s="661"/>
      <c r="R5" s="661"/>
    </row>
    <row r="6" customFormat="false" ht="9" hidden="false" customHeight="true" outlineLevel="0" collapsed="false">
      <c r="A6" s="664"/>
      <c r="B6" s="665"/>
      <c r="C6" s="666"/>
      <c r="D6" s="666"/>
      <c r="E6" s="666"/>
      <c r="F6" s="666"/>
      <c r="G6" s="666"/>
      <c r="H6" s="666"/>
      <c r="I6" s="666"/>
      <c r="J6" s="666"/>
      <c r="K6" s="667"/>
      <c r="L6" s="667"/>
      <c r="M6" s="667"/>
      <c r="N6" s="667"/>
    </row>
    <row r="7" customFormat="false" ht="18.75" hidden="false" customHeight="true" outlineLevel="0" collapsed="false">
      <c r="A7" s="668" t="s">
        <v>983</v>
      </c>
      <c r="B7" s="669" t="s">
        <v>984</v>
      </c>
      <c r="C7" s="670"/>
      <c r="D7" s="671" t="n">
        <v>2005</v>
      </c>
      <c r="E7" s="672"/>
      <c r="F7" s="672"/>
      <c r="G7" s="672"/>
      <c r="H7" s="672"/>
      <c r="I7" s="672"/>
      <c r="J7" s="672"/>
      <c r="K7" s="672"/>
      <c r="L7" s="670"/>
      <c r="Q7" s="673" t="s">
        <v>985</v>
      </c>
      <c r="R7" s="673"/>
    </row>
    <row r="8" customFormat="false" ht="20.25" hidden="false" customHeight="true" outlineLevel="0" collapsed="false">
      <c r="A8" s="674"/>
      <c r="B8" s="675" t="s">
        <v>986</v>
      </c>
      <c r="C8" s="675"/>
      <c r="D8" s="675"/>
      <c r="E8" s="675"/>
      <c r="F8" s="675"/>
      <c r="G8" s="675"/>
      <c r="H8" s="675"/>
      <c r="I8" s="675"/>
      <c r="J8" s="676" t="n">
        <f aca="false">'0.DADES'!D13</f>
        <v>11037</v>
      </c>
      <c r="K8" s="676"/>
    </row>
    <row r="9" customFormat="false" ht="18" hidden="false" customHeight="true" outlineLevel="0" collapsed="false">
      <c r="A9" s="677"/>
      <c r="B9" s="678"/>
      <c r="C9" s="670"/>
      <c r="D9" s="672"/>
      <c r="E9" s="672"/>
      <c r="F9" s="672"/>
      <c r="G9" s="672"/>
      <c r="J9" s="679"/>
      <c r="K9" s="679"/>
    </row>
    <row r="10" customFormat="false" ht="18" hidden="false" customHeight="true" outlineLevel="0" collapsed="false">
      <c r="A10" s="668" t="s">
        <v>987</v>
      </c>
      <c r="B10" s="669" t="s">
        <v>988</v>
      </c>
      <c r="C10" s="680"/>
      <c r="D10" s="681"/>
      <c r="E10" s="681"/>
      <c r="F10" s="681"/>
      <c r="G10" s="681"/>
      <c r="H10" s="682"/>
      <c r="I10" s="682"/>
      <c r="J10" s="683"/>
      <c r="K10" s="683"/>
    </row>
    <row r="11" customFormat="false" ht="18" hidden="false" customHeight="true" outlineLevel="0" collapsed="false">
      <c r="A11" s="677"/>
      <c r="B11" s="684" t="s">
        <v>989</v>
      </c>
      <c r="C11" s="685"/>
      <c r="D11" s="686" t="s">
        <v>990</v>
      </c>
      <c r="E11" s="686"/>
      <c r="F11" s="686"/>
      <c r="G11" s="686"/>
      <c r="H11" s="686"/>
      <c r="I11" s="686"/>
      <c r="J11" s="686"/>
      <c r="K11" s="686"/>
      <c r="L11" s="687"/>
      <c r="M11" s="687"/>
      <c r="N11" s="687"/>
      <c r="O11" s="688"/>
      <c r="P11" s="687"/>
      <c r="Q11" s="673" t="s">
        <v>991</v>
      </c>
      <c r="R11" s="673"/>
    </row>
    <row r="12" customFormat="false" ht="18.75" hidden="false" customHeight="true" outlineLevel="0" collapsed="false">
      <c r="A12" s="677"/>
      <c r="B12" s="689"/>
      <c r="C12" s="685"/>
      <c r="D12" s="686" t="s">
        <v>992</v>
      </c>
      <c r="E12" s="686"/>
      <c r="F12" s="686"/>
      <c r="G12" s="686"/>
      <c r="H12" s="686"/>
      <c r="I12" s="686"/>
      <c r="J12" s="686"/>
      <c r="K12" s="686"/>
      <c r="L12" s="690"/>
      <c r="M12" s="690"/>
      <c r="N12" s="690"/>
      <c r="O12" s="690"/>
      <c r="P12" s="690"/>
      <c r="Q12" s="690"/>
      <c r="R12" s="690"/>
    </row>
    <row r="13" customFormat="false" ht="18" hidden="false" customHeight="true" outlineLevel="0" collapsed="false">
      <c r="A13" s="677"/>
      <c r="B13" s="691" t="s">
        <v>993</v>
      </c>
      <c r="C13" s="672"/>
      <c r="D13" s="692"/>
      <c r="E13" s="692"/>
      <c r="F13" s="692"/>
      <c r="G13" s="692"/>
      <c r="H13" s="692"/>
      <c r="I13" s="692"/>
      <c r="J13" s="692"/>
      <c r="K13" s="692"/>
      <c r="L13" s="690"/>
      <c r="M13" s="690"/>
      <c r="N13" s="690"/>
      <c r="O13" s="690"/>
      <c r="P13" s="690"/>
      <c r="Q13" s="690"/>
      <c r="R13" s="690"/>
    </row>
    <row r="14" customFormat="false" ht="18" hidden="false" customHeight="true" outlineLevel="0" collapsed="false">
      <c r="A14" s="693"/>
      <c r="B14" s="684" t="s">
        <v>989</v>
      </c>
      <c r="C14" s="694"/>
      <c r="D14" s="686" t="s">
        <v>994</v>
      </c>
      <c r="E14" s="686"/>
      <c r="F14" s="686"/>
      <c r="G14" s="686"/>
      <c r="H14" s="686"/>
      <c r="I14" s="686"/>
      <c r="J14" s="686"/>
      <c r="K14" s="686"/>
      <c r="L14" s="695"/>
      <c r="M14" s="695"/>
      <c r="N14" s="695"/>
      <c r="O14" s="695"/>
      <c r="P14" s="695"/>
      <c r="Q14" s="695"/>
      <c r="R14" s="695"/>
    </row>
    <row r="15" customFormat="false" ht="18" hidden="false" customHeight="true" outlineLevel="0" collapsed="false">
      <c r="A15" s="693"/>
      <c r="B15" s="696"/>
      <c r="C15" s="694"/>
      <c r="D15" s="686" t="s">
        <v>995</v>
      </c>
      <c r="E15" s="686"/>
      <c r="F15" s="686"/>
      <c r="G15" s="686"/>
      <c r="H15" s="686"/>
      <c r="I15" s="686"/>
      <c r="J15" s="686"/>
      <c r="K15" s="686"/>
      <c r="L15" s="695"/>
      <c r="M15" s="695"/>
      <c r="N15" s="695"/>
      <c r="O15" s="695"/>
      <c r="P15" s="695"/>
      <c r="Q15" s="695"/>
      <c r="R15" s="695"/>
    </row>
    <row r="16" customFormat="false" ht="10.5" hidden="false" customHeight="true" outlineLevel="0" collapsed="false">
      <c r="A16" s="674"/>
      <c r="B16" s="697"/>
      <c r="C16" s="672"/>
      <c r="D16" s="698"/>
      <c r="E16" s="698"/>
      <c r="F16" s="698"/>
      <c r="G16" s="699"/>
      <c r="H16" s="700"/>
    </row>
    <row r="17" customFormat="false" ht="13.5" hidden="false" customHeight="true" outlineLevel="0" collapsed="false">
      <c r="A17" s="668" t="s">
        <v>996</v>
      </c>
      <c r="B17" s="669" t="s">
        <v>997</v>
      </c>
      <c r="C17" s="668"/>
      <c r="D17" s="669"/>
      <c r="E17" s="668"/>
      <c r="F17" s="669"/>
      <c r="G17" s="668"/>
      <c r="H17" s="669"/>
      <c r="I17" s="668"/>
      <c r="J17" s="669"/>
      <c r="K17" s="667"/>
      <c r="L17" s="667"/>
      <c r="M17" s="667"/>
      <c r="N17" s="667"/>
    </row>
    <row r="18" customFormat="false" ht="13.5" hidden="false" customHeight="true" outlineLevel="0" collapsed="false">
      <c r="A18" s="701"/>
      <c r="B18" s="702"/>
      <c r="C18" s="667"/>
      <c r="D18" s="667"/>
      <c r="E18" s="667"/>
      <c r="F18" s="667"/>
      <c r="G18" s="667"/>
      <c r="H18" s="667"/>
      <c r="I18" s="667"/>
      <c r="J18" s="667"/>
      <c r="K18" s="667"/>
      <c r="L18" s="667"/>
      <c r="M18" s="667"/>
      <c r="N18" s="667"/>
    </row>
    <row r="19" customFormat="false" ht="13.5" hidden="false" customHeight="true" outlineLevel="0" collapsed="false">
      <c r="A19" s="701"/>
      <c r="B19" s="702" t="s">
        <v>998</v>
      </c>
      <c r="C19" s="667"/>
      <c r="D19" s="667"/>
      <c r="E19" s="667"/>
      <c r="F19" s="667"/>
      <c r="G19" s="667"/>
      <c r="H19" s="667"/>
      <c r="I19" s="667"/>
      <c r="J19" s="667"/>
      <c r="K19" s="667"/>
      <c r="L19" s="667"/>
      <c r="M19" s="667"/>
      <c r="N19" s="667"/>
    </row>
    <row r="20" customFormat="false" ht="16.5" hidden="false" customHeight="true" outlineLevel="0" collapsed="false">
      <c r="A20" s="682"/>
      <c r="B20" s="703" t="s">
        <v>999</v>
      </c>
      <c r="C20" s="704"/>
      <c r="D20" s="705" t="s">
        <v>1000</v>
      </c>
      <c r="E20" s="705"/>
      <c r="F20" s="705"/>
      <c r="G20" s="705"/>
      <c r="H20" s="705"/>
      <c r="J20" s="679"/>
      <c r="K20" s="679"/>
    </row>
    <row r="21" customFormat="false" ht="8.25" hidden="false" customHeight="true" outlineLevel="0" collapsed="false">
      <c r="A21" s="682"/>
      <c r="B21" s="702"/>
      <c r="C21" s="670"/>
      <c r="D21" s="706"/>
      <c r="E21" s="706"/>
      <c r="F21" s="706"/>
      <c r="G21" s="706"/>
      <c r="J21" s="679"/>
      <c r="K21" s="679"/>
    </row>
    <row r="22" customFormat="false" ht="17.25" hidden="false" customHeight="true" outlineLevel="0" collapsed="false">
      <c r="A22" s="682"/>
      <c r="B22" s="707" t="s">
        <v>1001</v>
      </c>
      <c r="C22" s="707"/>
      <c r="D22" s="706"/>
      <c r="E22" s="706"/>
      <c r="F22" s="706"/>
      <c r="G22" s="706"/>
      <c r="J22" s="679"/>
      <c r="K22" s="679"/>
    </row>
    <row r="23" customFormat="false" ht="15" hidden="false" customHeight="true" outlineLevel="0" collapsed="false">
      <c r="A23" s="682"/>
      <c r="B23" s="708" t="s">
        <v>1002</v>
      </c>
      <c r="C23" s="708"/>
      <c r="D23" s="708"/>
      <c r="E23" s="708"/>
      <c r="F23" s="708"/>
      <c r="G23" s="708"/>
      <c r="H23" s="708"/>
      <c r="I23" s="708"/>
      <c r="J23" s="708"/>
      <c r="K23" s="708"/>
      <c r="L23" s="708"/>
      <c r="M23" s="708"/>
      <c r="N23" s="708"/>
      <c r="O23" s="708"/>
      <c r="P23" s="708"/>
      <c r="Q23" s="708"/>
      <c r="R23" s="708"/>
    </row>
    <row r="24" customFormat="false" ht="11.25" hidden="false" customHeight="true" outlineLevel="0" collapsed="false">
      <c r="A24" s="682"/>
      <c r="B24" s="709"/>
      <c r="C24" s="709"/>
      <c r="D24" s="709"/>
      <c r="E24" s="709"/>
      <c r="F24" s="709"/>
      <c r="G24" s="709"/>
      <c r="H24" s="709"/>
      <c r="I24" s="709"/>
      <c r="J24" s="709"/>
      <c r="K24" s="709"/>
      <c r="L24" s="709"/>
      <c r="M24" s="709"/>
      <c r="N24" s="709"/>
      <c r="O24" s="709"/>
      <c r="P24" s="709"/>
      <c r="Q24" s="709"/>
      <c r="R24" s="709"/>
    </row>
    <row r="25" s="713" customFormat="true" ht="17.25" hidden="false" customHeight="true" outlineLevel="0" collapsed="false">
      <c r="A25" s="710"/>
      <c r="B25" s="711" t="s">
        <v>1003</v>
      </c>
      <c r="C25" s="712" t="s">
        <v>1004</v>
      </c>
      <c r="D25" s="712"/>
      <c r="E25" s="712"/>
      <c r="F25" s="712"/>
      <c r="G25" s="712"/>
      <c r="H25" s="712"/>
      <c r="I25" s="712"/>
      <c r="J25" s="712"/>
      <c r="K25" s="712"/>
      <c r="L25" s="712"/>
      <c r="M25" s="712"/>
      <c r="N25" s="712"/>
      <c r="O25" s="712"/>
      <c r="P25" s="712"/>
      <c r="Q25" s="712"/>
      <c r="R25" s="712"/>
    </row>
    <row r="26" customFormat="false" ht="13.5" hidden="false" customHeight="true" outlineLevel="0" collapsed="false">
      <c r="A26" s="682"/>
      <c r="B26" s="711"/>
      <c r="C26" s="714" t="s">
        <v>1005</v>
      </c>
      <c r="D26" s="715" t="s">
        <v>1006</v>
      </c>
      <c r="E26" s="716" t="s">
        <v>1007</v>
      </c>
      <c r="F26" s="716"/>
      <c r="G26" s="716"/>
      <c r="H26" s="716"/>
      <c r="I26" s="716"/>
      <c r="J26" s="716"/>
      <c r="K26" s="716"/>
      <c r="L26" s="716"/>
      <c r="M26" s="717" t="s">
        <v>1008</v>
      </c>
      <c r="N26" s="717"/>
      <c r="O26" s="717"/>
      <c r="P26" s="717"/>
      <c r="Q26" s="717"/>
      <c r="R26" s="718" t="s">
        <v>272</v>
      </c>
    </row>
    <row r="27" customFormat="false" ht="52.5" hidden="false" customHeight="true" outlineLevel="0" collapsed="false">
      <c r="A27" s="682"/>
      <c r="B27" s="711"/>
      <c r="C27" s="714"/>
      <c r="D27" s="715"/>
      <c r="E27" s="719" t="s">
        <v>116</v>
      </c>
      <c r="F27" s="719" t="s">
        <v>1009</v>
      </c>
      <c r="G27" s="720" t="s">
        <v>1010</v>
      </c>
      <c r="H27" s="719" t="s">
        <v>1011</v>
      </c>
      <c r="I27" s="719" t="s">
        <v>118</v>
      </c>
      <c r="J27" s="719" t="s">
        <v>1012</v>
      </c>
      <c r="K27" s="715" t="s">
        <v>1013</v>
      </c>
      <c r="L27" s="715" t="s">
        <v>1014</v>
      </c>
      <c r="M27" s="720" t="s">
        <v>1015</v>
      </c>
      <c r="N27" s="721" t="s">
        <v>1016</v>
      </c>
      <c r="O27" s="721" t="s">
        <v>1017</v>
      </c>
      <c r="P27" s="721" t="s">
        <v>1018</v>
      </c>
      <c r="Q27" s="722" t="s">
        <v>1019</v>
      </c>
      <c r="R27" s="718"/>
    </row>
    <row r="28" customFormat="false" ht="15" hidden="false" customHeight="true" outlineLevel="0" collapsed="false">
      <c r="A28" s="723"/>
      <c r="B28" s="724" t="s">
        <v>1020</v>
      </c>
      <c r="C28" s="725" t="s">
        <v>1021</v>
      </c>
      <c r="D28" s="725"/>
      <c r="E28" s="725"/>
      <c r="F28" s="725"/>
      <c r="G28" s="725"/>
      <c r="H28" s="725"/>
      <c r="I28" s="725"/>
      <c r="J28" s="725"/>
      <c r="K28" s="725"/>
      <c r="L28" s="725"/>
      <c r="M28" s="725"/>
      <c r="N28" s="725"/>
      <c r="O28" s="725"/>
      <c r="P28" s="725"/>
      <c r="Q28" s="725"/>
      <c r="R28" s="726"/>
    </row>
    <row r="29" customFormat="false" ht="13.5" hidden="false" customHeight="true" outlineLevel="0" collapsed="false">
      <c r="A29" s="723"/>
      <c r="B29" s="727" t="s">
        <v>1022</v>
      </c>
      <c r="C29" s="728" t="n">
        <f aca="false">+'T.AJUNTAMENT'!B157</f>
        <v>1547.388</v>
      </c>
      <c r="D29" s="729"/>
      <c r="E29" s="729"/>
      <c r="F29" s="728" t="n">
        <f aca="false">+'T.AJUNTAMENT'!B159</f>
        <v>172.469534883721</v>
      </c>
      <c r="G29" s="728" t="n">
        <f aca="false">+'T.AJUNTAMENT'!B160</f>
        <v>688.6972</v>
      </c>
      <c r="H29" s="729"/>
      <c r="I29" s="729"/>
      <c r="J29" s="729"/>
      <c r="K29" s="729"/>
      <c r="L29" s="729"/>
      <c r="M29" s="729"/>
      <c r="N29" s="729"/>
      <c r="O29" s="729"/>
      <c r="P29" s="729"/>
      <c r="Q29" s="730"/>
      <c r="R29" s="731" t="n">
        <f aca="false">SUM(C29:Q29)</f>
        <v>2408.55473488372</v>
      </c>
    </row>
    <row r="30" customFormat="false" ht="17.25" hidden="false" customHeight="true" outlineLevel="0" collapsed="false">
      <c r="A30" s="723"/>
      <c r="B30" s="732" t="s">
        <v>1023</v>
      </c>
      <c r="C30" s="728" t="n">
        <f aca="false">+'T. PAES'!B96-C29-C32</f>
        <v>20648.3096119298</v>
      </c>
      <c r="D30" s="729"/>
      <c r="E30" s="729"/>
      <c r="F30" s="728" t="n">
        <f aca="false">+'T. PAES'!B98-F29</f>
        <v>3052.2490922431</v>
      </c>
      <c r="G30" s="728" t="n">
        <f aca="false">+'T. PAES'!B99-G29</f>
        <v>26103.5482993796</v>
      </c>
      <c r="H30" s="729"/>
      <c r="I30" s="729"/>
      <c r="J30" s="729"/>
      <c r="K30" s="729"/>
      <c r="L30" s="728"/>
      <c r="M30" s="729"/>
      <c r="N30" s="729"/>
      <c r="O30" s="729"/>
      <c r="P30" s="729"/>
      <c r="Q30" s="730"/>
      <c r="R30" s="733" t="n">
        <f aca="false">SUM(C30:Q30)</f>
        <v>49804.1070035525</v>
      </c>
    </row>
    <row r="31" customFormat="false" ht="17.25" hidden="false" customHeight="true" outlineLevel="0" collapsed="false">
      <c r="A31" s="723"/>
      <c r="B31" s="727" t="s">
        <v>1024</v>
      </c>
      <c r="C31" s="728" t="n">
        <f aca="false">+'T. PAES'!B124</f>
        <v>43823.513</v>
      </c>
      <c r="D31" s="729"/>
      <c r="E31" s="729"/>
      <c r="F31" s="728" t="n">
        <f aca="false">+'T. PAES'!B126</f>
        <v>7196.84957811331</v>
      </c>
      <c r="G31" s="728" t="n">
        <f aca="false">+'T. PAES'!B127</f>
        <v>21137.2263668869</v>
      </c>
      <c r="H31" s="729"/>
      <c r="I31" s="729"/>
      <c r="J31" s="729"/>
      <c r="K31" s="729"/>
      <c r="L31" s="729"/>
      <c r="M31" s="729"/>
      <c r="N31" s="729"/>
      <c r="O31" s="729"/>
      <c r="P31" s="729"/>
      <c r="Q31" s="730"/>
      <c r="R31" s="733" t="n">
        <f aca="false">SUM(C31:Q31)</f>
        <v>72157.5889450002</v>
      </c>
    </row>
    <row r="32" customFormat="false" ht="17.25" hidden="false" customHeight="true" outlineLevel="0" collapsed="false">
      <c r="A32" s="723"/>
      <c r="B32" s="727" t="s">
        <v>1025</v>
      </c>
      <c r="C32" s="728" t="n">
        <f aca="false">+'T.AJUNTAMENT'!B57</f>
        <v>835.611</v>
      </c>
      <c r="D32" s="729"/>
      <c r="E32" s="729"/>
      <c r="F32" s="728"/>
      <c r="G32" s="728"/>
      <c r="H32" s="729"/>
      <c r="I32" s="729"/>
      <c r="J32" s="729"/>
      <c r="K32" s="729"/>
      <c r="L32" s="729"/>
      <c r="M32" s="729"/>
      <c r="N32" s="729"/>
      <c r="O32" s="729"/>
      <c r="P32" s="729"/>
      <c r="Q32" s="730"/>
      <c r="R32" s="733" t="n">
        <f aca="false">SUM(C32:Q32)</f>
        <v>835.611</v>
      </c>
    </row>
    <row r="33" customFormat="false" ht="33" hidden="false" customHeight="true" outlineLevel="0" collapsed="false">
      <c r="A33" s="682"/>
      <c r="B33" s="734" t="s">
        <v>1026</v>
      </c>
      <c r="C33" s="735"/>
      <c r="D33" s="736"/>
      <c r="E33" s="729"/>
      <c r="F33" s="728"/>
      <c r="G33" s="728"/>
      <c r="H33" s="737"/>
      <c r="I33" s="729"/>
      <c r="J33" s="729"/>
      <c r="K33" s="737"/>
      <c r="L33" s="737"/>
      <c r="M33" s="737"/>
      <c r="N33" s="738"/>
      <c r="O33" s="729"/>
      <c r="P33" s="739"/>
      <c r="Q33" s="740"/>
      <c r="R33" s="733" t="n">
        <f aca="false">+'T. PAES'!B56</f>
        <v>5995.91889</v>
      </c>
    </row>
    <row r="34" customFormat="false" ht="13.5" hidden="false" customHeight="true" outlineLevel="0" collapsed="false">
      <c r="A34" s="682"/>
      <c r="B34" s="741" t="s">
        <v>1027</v>
      </c>
      <c r="C34" s="742" t="n">
        <f aca="false">SUM(C29:C33)</f>
        <v>66854.8216119298</v>
      </c>
      <c r="D34" s="743" t="n">
        <f aca="false">SUM(D29:D33)</f>
        <v>0</v>
      </c>
      <c r="E34" s="744" t="n">
        <f aca="false">SUM(E29:E33)</f>
        <v>0</v>
      </c>
      <c r="F34" s="745" t="n">
        <f aca="false">SUM(F29:F33)</f>
        <v>10421.5682052401</v>
      </c>
      <c r="G34" s="745" t="n">
        <f aca="false">SUM(G29:G33)</f>
        <v>47929.4718662665</v>
      </c>
      <c r="H34" s="744" t="n">
        <f aca="false">SUM(H29:H33)</f>
        <v>0</v>
      </c>
      <c r="I34" s="744" t="n">
        <f aca="false">SUM(I29:I33)</f>
        <v>0</v>
      </c>
      <c r="J34" s="744" t="n">
        <f aca="false">SUM(J29:J33)</f>
        <v>0</v>
      </c>
      <c r="K34" s="744" t="n">
        <f aca="false">SUM(K29:K33)</f>
        <v>0</v>
      </c>
      <c r="L34" s="746" t="n">
        <f aca="false">SUM(L29:L33)</f>
        <v>0</v>
      </c>
      <c r="M34" s="743" t="n">
        <f aca="false">SUM(M29:M33)</f>
        <v>0</v>
      </c>
      <c r="N34" s="747" t="n">
        <f aca="false">SUM(N29:N33)</f>
        <v>0</v>
      </c>
      <c r="O34" s="744" t="n">
        <f aca="false">SUM(O29:O33)</f>
        <v>0</v>
      </c>
      <c r="P34" s="748" t="n">
        <f aca="false">SUM(P29:P33)</f>
        <v>0</v>
      </c>
      <c r="Q34" s="749" t="n">
        <f aca="false">SUM(Q29:Q33)</f>
        <v>0</v>
      </c>
      <c r="R34" s="750" t="n">
        <f aca="false">SUM(R29:R33)</f>
        <v>131201.780573436</v>
      </c>
      <c r="S34" s="751"/>
    </row>
    <row r="35" customFormat="false" ht="15" hidden="false" customHeight="true" outlineLevel="0" collapsed="false">
      <c r="A35" s="723"/>
      <c r="B35" s="752" t="s">
        <v>1028</v>
      </c>
      <c r="C35" s="753"/>
      <c r="D35" s="753"/>
      <c r="E35" s="753"/>
      <c r="F35" s="753"/>
      <c r="G35" s="753"/>
      <c r="H35" s="753"/>
      <c r="I35" s="753"/>
      <c r="J35" s="753"/>
      <c r="K35" s="753"/>
      <c r="L35" s="753"/>
      <c r="M35" s="753"/>
      <c r="N35" s="753"/>
      <c r="O35" s="753"/>
      <c r="P35" s="753"/>
      <c r="Q35" s="753"/>
      <c r="R35" s="754"/>
    </row>
    <row r="36" customFormat="false" ht="13.5" hidden="false" customHeight="true" outlineLevel="0" collapsed="false">
      <c r="A36" s="723"/>
      <c r="B36" s="755" t="s">
        <v>1029</v>
      </c>
      <c r="C36" s="737"/>
      <c r="D36" s="729"/>
      <c r="E36" s="729" t="n">
        <v>0</v>
      </c>
      <c r="F36" s="729"/>
      <c r="G36" s="729"/>
      <c r="H36" s="756" t="n">
        <f aca="false">'10. VEHICLES PROPIS'!D73/1000+'11. VEHICLES EXT.'!D72/1000</f>
        <v>1160.80390385</v>
      </c>
      <c r="I36" s="756" t="n">
        <f aca="false">'10. VEHICLES PROPIS'!D109/1000+'11. VEHICLES EXT.'!D110/1000</f>
        <v>214.336395</v>
      </c>
      <c r="J36" s="729"/>
      <c r="K36" s="729"/>
      <c r="L36" s="729"/>
      <c r="M36" s="729"/>
      <c r="N36" s="729"/>
      <c r="O36" s="729"/>
      <c r="P36" s="729"/>
      <c r="Q36" s="730"/>
      <c r="R36" s="733" t="n">
        <f aca="false">SUM(C36:Q36)</f>
        <v>1375.14029885</v>
      </c>
    </row>
    <row r="37" customFormat="false" ht="14.25" hidden="false" customHeight="true" outlineLevel="0" collapsed="false">
      <c r="A37" s="723"/>
      <c r="B37" s="755" t="s">
        <v>1030</v>
      </c>
      <c r="C37" s="737"/>
      <c r="D37" s="729"/>
      <c r="E37" s="729" t="n">
        <v>0</v>
      </c>
      <c r="F37" s="729"/>
      <c r="G37" s="729"/>
      <c r="H37" s="756" t="n">
        <v>0</v>
      </c>
      <c r="I37" s="729"/>
      <c r="J37" s="729"/>
      <c r="K37" s="729"/>
      <c r="L37" s="729"/>
      <c r="M37" s="729"/>
      <c r="N37" s="729"/>
      <c r="O37" s="729"/>
      <c r="P37" s="729"/>
      <c r="Q37" s="730"/>
      <c r="R37" s="733" t="n">
        <f aca="false">SUM(C37:Q37)</f>
        <v>0</v>
      </c>
    </row>
    <row r="38" customFormat="false" ht="15.75" hidden="false" customHeight="true" outlineLevel="0" collapsed="false">
      <c r="A38" s="723"/>
      <c r="B38" s="755" t="s">
        <v>1031</v>
      </c>
      <c r="C38" s="737"/>
      <c r="D38" s="729"/>
      <c r="E38" s="729" t="n">
        <v>0</v>
      </c>
      <c r="F38" s="729"/>
      <c r="G38" s="729"/>
      <c r="H38" s="757" t="n">
        <f aca="false">+'T. PAES'!B182-H36</f>
        <v>51087.5755100628</v>
      </c>
      <c r="I38" s="758" t="n">
        <f aca="false">+'T. PAES'!B181</f>
        <v>34836.8314454196</v>
      </c>
      <c r="J38" s="729"/>
      <c r="K38" s="729"/>
      <c r="L38" s="729"/>
      <c r="M38" s="729"/>
      <c r="N38" s="729"/>
      <c r="O38" s="729"/>
      <c r="P38" s="729"/>
      <c r="Q38" s="730"/>
      <c r="R38" s="733" t="n">
        <f aca="false">SUM(C38:Q38)</f>
        <v>85924.4069554824</v>
      </c>
    </row>
    <row r="39" customFormat="false" ht="15.75" hidden="false" customHeight="false" outlineLevel="0" collapsed="false">
      <c r="A39" s="682"/>
      <c r="B39" s="759" t="s">
        <v>1032</v>
      </c>
      <c r="C39" s="760" t="n">
        <f aca="false">SUM(C36:C38)</f>
        <v>0</v>
      </c>
      <c r="D39" s="761" t="n">
        <f aca="false">SUM(D36:D38)</f>
        <v>0</v>
      </c>
      <c r="E39" s="747" t="n">
        <f aca="false">SUM(E36:E38)</f>
        <v>0</v>
      </c>
      <c r="F39" s="761" t="n">
        <f aca="false">SUM(F36:F38)</f>
        <v>0</v>
      </c>
      <c r="G39" s="761" t="n">
        <f aca="false">SUM(G36:G38)</f>
        <v>0</v>
      </c>
      <c r="H39" s="762" t="n">
        <f aca="false">+H36+H37+H38</f>
        <v>52248.3794139128</v>
      </c>
      <c r="I39" s="763" t="n">
        <f aca="false">SUM(I36:I38)</f>
        <v>35051.1678404196</v>
      </c>
      <c r="J39" s="761" t="n">
        <f aca="false">SUM(J36:J38)</f>
        <v>0</v>
      </c>
      <c r="K39" s="761" t="n">
        <f aca="false">SUM(K36:K38)</f>
        <v>0</v>
      </c>
      <c r="L39" s="761" t="n">
        <f aca="false">SUM(L36:L38)</f>
        <v>0</v>
      </c>
      <c r="M39" s="761" t="n">
        <f aca="false">SUM(M36:M38)</f>
        <v>0</v>
      </c>
      <c r="N39" s="761" t="n">
        <f aca="false">SUM(N36:N38)</f>
        <v>0</v>
      </c>
      <c r="O39" s="761" t="n">
        <f aca="false">SUM(O36:O38)</f>
        <v>0</v>
      </c>
      <c r="P39" s="747" t="n">
        <f aca="false">SUM(P36:P38)</f>
        <v>0</v>
      </c>
      <c r="Q39" s="764" t="n">
        <f aca="false">SUM(Q36:Q38)</f>
        <v>0</v>
      </c>
      <c r="R39" s="765" t="n">
        <f aca="false">SUM(R36:R38)</f>
        <v>87299.5472543324</v>
      </c>
    </row>
    <row r="40" customFormat="false" ht="18" hidden="false" customHeight="true" outlineLevel="0" collapsed="false">
      <c r="A40" s="682"/>
      <c r="B40" s="766" t="s">
        <v>272</v>
      </c>
      <c r="C40" s="767" t="n">
        <f aca="false">C39+C34</f>
        <v>66854.8216119298</v>
      </c>
      <c r="D40" s="768" t="n">
        <f aca="false">D39+D34</f>
        <v>0</v>
      </c>
      <c r="E40" s="769" t="n">
        <f aca="false">E39+E34</f>
        <v>0</v>
      </c>
      <c r="F40" s="770" t="n">
        <f aca="false">F39+F34</f>
        <v>10421.5682052401</v>
      </c>
      <c r="G40" s="771" t="n">
        <f aca="false">G39+G34</f>
        <v>47929.4718662665</v>
      </c>
      <c r="H40" s="772" t="n">
        <f aca="false">H39+H34</f>
        <v>52248.3794139128</v>
      </c>
      <c r="I40" s="773" t="n">
        <f aca="false">I39+I34</f>
        <v>35051.1678404196</v>
      </c>
      <c r="J40" s="769" t="n">
        <f aca="false">J39+J34</f>
        <v>0</v>
      </c>
      <c r="K40" s="769" t="n">
        <f aca="false">K39+K34</f>
        <v>0</v>
      </c>
      <c r="L40" s="769" t="n">
        <f aca="false">L39+L34</f>
        <v>0</v>
      </c>
      <c r="M40" s="769" t="n">
        <f aca="false">M39+M34</f>
        <v>0</v>
      </c>
      <c r="N40" s="769" t="n">
        <f aca="false">N39+N34</f>
        <v>0</v>
      </c>
      <c r="O40" s="769" t="n">
        <f aca="false">O39+O34</f>
        <v>0</v>
      </c>
      <c r="P40" s="769" t="n">
        <f aca="false">P39+P34</f>
        <v>0</v>
      </c>
      <c r="Q40" s="774" t="n">
        <f aca="false">Q39+Q34</f>
        <v>0</v>
      </c>
      <c r="R40" s="775" t="n">
        <f aca="false">R39+R34</f>
        <v>218501.327827769</v>
      </c>
    </row>
    <row r="41" s="682" customFormat="true" ht="11.25" hidden="false" customHeight="true" outlineLevel="0" collapsed="false">
      <c r="B41" s="776"/>
      <c r="C41" s="777"/>
      <c r="D41" s="777"/>
      <c r="E41" s="777"/>
      <c r="F41" s="777"/>
      <c r="G41" s="777"/>
      <c r="H41" s="777"/>
      <c r="I41" s="777"/>
      <c r="J41" s="777"/>
      <c r="K41" s="777"/>
      <c r="L41" s="777"/>
      <c r="M41" s="777"/>
      <c r="N41" s="777"/>
      <c r="O41" s="777"/>
      <c r="P41" s="777"/>
      <c r="Q41" s="777"/>
      <c r="R41" s="777"/>
    </row>
    <row r="42" customFormat="false" ht="31.5" hidden="false" customHeight="false" outlineLevel="0" collapsed="false">
      <c r="A42" s="682"/>
      <c r="B42" s="778" t="s">
        <v>1033</v>
      </c>
      <c r="C42" s="779"/>
      <c r="D42" s="680"/>
      <c r="E42" s="680"/>
      <c r="F42" s="680"/>
      <c r="G42" s="680"/>
      <c r="H42" s="680"/>
      <c r="I42" s="680"/>
      <c r="J42" s="680"/>
      <c r="K42" s="680"/>
      <c r="L42" s="680"/>
      <c r="M42" s="680"/>
      <c r="N42" s="680"/>
      <c r="O42" s="680"/>
      <c r="P42" s="680"/>
      <c r="Q42" s="680"/>
      <c r="R42" s="680"/>
    </row>
    <row r="43" customFormat="false" ht="30" hidden="false" customHeight="true" outlineLevel="0" collapsed="false">
      <c r="A43" s="701"/>
      <c r="B43" s="780" t="s">
        <v>1034</v>
      </c>
      <c r="C43" s="779"/>
      <c r="D43" s="781"/>
      <c r="E43" s="781"/>
      <c r="F43" s="781"/>
      <c r="G43" s="781"/>
      <c r="H43" s="782"/>
    </row>
    <row r="44" customFormat="false" ht="10.5" hidden="false" customHeight="true" outlineLevel="0" collapsed="false">
      <c r="A44" s="701"/>
      <c r="B44" s="783"/>
      <c r="C44" s="783"/>
      <c r="D44" s="783"/>
    </row>
    <row r="45" customFormat="false" ht="15.75" hidden="false" customHeight="true" outlineLevel="0" collapsed="false">
      <c r="A45" s="701"/>
      <c r="B45" s="784" t="s">
        <v>1035</v>
      </c>
      <c r="C45" s="783"/>
      <c r="D45" s="783"/>
    </row>
    <row r="46" customFormat="false" ht="15" hidden="false" customHeight="true" outlineLevel="0" collapsed="false">
      <c r="A46" s="682"/>
      <c r="B46" s="708" t="s">
        <v>1002</v>
      </c>
      <c r="C46" s="708"/>
      <c r="D46" s="708"/>
      <c r="E46" s="708"/>
      <c r="F46" s="708"/>
      <c r="G46" s="708"/>
      <c r="H46" s="708"/>
      <c r="I46" s="708"/>
      <c r="J46" s="708"/>
      <c r="K46" s="708"/>
      <c r="L46" s="708"/>
      <c r="M46" s="708"/>
      <c r="N46" s="708"/>
      <c r="O46" s="708"/>
      <c r="P46" s="708"/>
      <c r="Q46" s="708"/>
      <c r="R46" s="708"/>
    </row>
    <row r="47" customFormat="false" ht="15" hidden="false" customHeight="true" outlineLevel="0" collapsed="false">
      <c r="A47" s="682"/>
      <c r="B47" s="709"/>
      <c r="C47" s="709"/>
      <c r="D47" s="709"/>
      <c r="E47" s="709"/>
      <c r="F47" s="709"/>
      <c r="G47" s="709"/>
      <c r="H47" s="709"/>
      <c r="I47" s="709"/>
      <c r="J47" s="709"/>
      <c r="K47" s="709"/>
      <c r="L47" s="709"/>
      <c r="M47" s="709"/>
      <c r="N47" s="709"/>
      <c r="O47" s="709"/>
      <c r="P47" s="709"/>
      <c r="Q47" s="709"/>
      <c r="R47" s="709"/>
    </row>
    <row r="48" s="713" customFormat="true" ht="17.25" hidden="false" customHeight="true" outlineLevel="0" collapsed="false">
      <c r="A48" s="710"/>
      <c r="B48" s="785" t="s">
        <v>1003</v>
      </c>
      <c r="C48" s="712" t="s">
        <v>1036</v>
      </c>
      <c r="D48" s="712"/>
      <c r="E48" s="712"/>
      <c r="F48" s="712"/>
      <c r="G48" s="712"/>
      <c r="H48" s="712"/>
      <c r="I48" s="712"/>
      <c r="J48" s="712"/>
      <c r="K48" s="712"/>
      <c r="L48" s="712"/>
      <c r="M48" s="712"/>
      <c r="N48" s="712"/>
      <c r="O48" s="712"/>
      <c r="P48" s="712"/>
      <c r="Q48" s="712"/>
      <c r="R48" s="712"/>
      <c r="S48" s="786"/>
    </row>
    <row r="49" customFormat="false" ht="13.5" hidden="false" customHeight="true" outlineLevel="0" collapsed="false">
      <c r="A49" s="682"/>
      <c r="B49" s="785"/>
      <c r="C49" s="714" t="s">
        <v>1005</v>
      </c>
      <c r="D49" s="715" t="s">
        <v>1037</v>
      </c>
      <c r="E49" s="716" t="s">
        <v>1007</v>
      </c>
      <c r="F49" s="716"/>
      <c r="G49" s="716"/>
      <c r="H49" s="716"/>
      <c r="I49" s="716"/>
      <c r="J49" s="716"/>
      <c r="K49" s="716"/>
      <c r="L49" s="716"/>
      <c r="M49" s="787" t="s">
        <v>1008</v>
      </c>
      <c r="N49" s="787"/>
      <c r="O49" s="787"/>
      <c r="P49" s="787"/>
      <c r="Q49" s="787"/>
      <c r="R49" s="788" t="s">
        <v>272</v>
      </c>
      <c r="S49" s="789"/>
    </row>
    <row r="50" customFormat="false" ht="52.5" hidden="false" customHeight="true" outlineLevel="0" collapsed="false">
      <c r="A50" s="682"/>
      <c r="B50" s="785"/>
      <c r="C50" s="714"/>
      <c r="D50" s="715"/>
      <c r="E50" s="721" t="s">
        <v>116</v>
      </c>
      <c r="F50" s="721" t="s">
        <v>1009</v>
      </c>
      <c r="G50" s="721" t="s">
        <v>1010</v>
      </c>
      <c r="H50" s="721" t="s">
        <v>1011</v>
      </c>
      <c r="I50" s="721" t="s">
        <v>118</v>
      </c>
      <c r="J50" s="721" t="s">
        <v>1012</v>
      </c>
      <c r="K50" s="790" t="s">
        <v>1013</v>
      </c>
      <c r="L50" s="790" t="s">
        <v>1014</v>
      </c>
      <c r="M50" s="721" t="s">
        <v>1038</v>
      </c>
      <c r="N50" s="721" t="s">
        <v>1015</v>
      </c>
      <c r="O50" s="721" t="s">
        <v>1017</v>
      </c>
      <c r="P50" s="721" t="s">
        <v>1018</v>
      </c>
      <c r="Q50" s="722" t="s">
        <v>1019</v>
      </c>
      <c r="R50" s="788"/>
    </row>
    <row r="51" s="799" customFormat="true" ht="15" hidden="false" customHeight="true" outlineLevel="0" collapsed="false">
      <c r="A51" s="791"/>
      <c r="B51" s="792" t="s">
        <v>1020</v>
      </c>
      <c r="C51" s="793" t="s">
        <v>1021</v>
      </c>
      <c r="D51" s="794"/>
      <c r="E51" s="795"/>
      <c r="F51" s="795"/>
      <c r="G51" s="795"/>
      <c r="H51" s="795"/>
      <c r="I51" s="795"/>
      <c r="J51" s="795"/>
      <c r="K51" s="795"/>
      <c r="L51" s="795"/>
      <c r="M51" s="796"/>
      <c r="N51" s="796"/>
      <c r="O51" s="795"/>
      <c r="P51" s="796"/>
      <c r="Q51" s="797"/>
      <c r="R51" s="798"/>
    </row>
    <row r="52" customFormat="false" ht="13.5" hidden="false" customHeight="true" outlineLevel="0" collapsed="false">
      <c r="A52" s="723"/>
      <c r="B52" s="755" t="s">
        <v>1022</v>
      </c>
      <c r="C52" s="728" t="n">
        <f aca="false">+C29*$C$69</f>
        <v>1305.6859944</v>
      </c>
      <c r="D52" s="800"/>
      <c r="E52" s="800" t="n">
        <f aca="false">+E29*$E$69</f>
        <v>0</v>
      </c>
      <c r="F52" s="728" t="n">
        <f aca="false">+F29*$F$69</f>
        <v>46.0493658139535</v>
      </c>
      <c r="G52" s="728" t="n">
        <f aca="false">+G29*$G$69</f>
        <v>183.8821524</v>
      </c>
      <c r="H52" s="800"/>
      <c r="I52" s="800"/>
      <c r="J52" s="800"/>
      <c r="K52" s="800"/>
      <c r="L52" s="800"/>
      <c r="M52" s="800"/>
      <c r="N52" s="800"/>
      <c r="O52" s="800"/>
      <c r="P52" s="800"/>
      <c r="Q52" s="801"/>
      <c r="R52" s="802" t="n">
        <f aca="false">+C52+D52+E52+F52+G52+H52+I52+J52+K52+L52+M52+N52+O52+P52+Q52</f>
        <v>1535.61751261395</v>
      </c>
    </row>
    <row r="53" customFormat="false" ht="17.25" hidden="false" customHeight="true" outlineLevel="0" collapsed="false">
      <c r="A53" s="723"/>
      <c r="B53" s="803" t="s">
        <v>1023</v>
      </c>
      <c r="C53" s="728" t="n">
        <f aca="false">+C30*$C$69</f>
        <v>17423.0436505464</v>
      </c>
      <c r="D53" s="800"/>
      <c r="E53" s="800" t="n">
        <f aca="false">+E30*$E$69</f>
        <v>0</v>
      </c>
      <c r="F53" s="728" t="n">
        <f aca="false">+F30*$F$69</f>
        <v>814.950507628909</v>
      </c>
      <c r="G53" s="728" t="n">
        <f aca="false">+G30*$G$69</f>
        <v>6969.64739593435</v>
      </c>
      <c r="H53" s="800"/>
      <c r="I53" s="800"/>
      <c r="J53" s="800"/>
      <c r="K53" s="800"/>
      <c r="L53" s="728" t="n">
        <f aca="false">+L30*L69</f>
        <v>0</v>
      </c>
      <c r="M53" s="800"/>
      <c r="N53" s="800"/>
      <c r="O53" s="800"/>
      <c r="P53" s="800"/>
      <c r="Q53" s="801"/>
      <c r="R53" s="802" t="n">
        <f aca="false">+C53+D53+E53+F53+G53+H53+I53+J53+K53+L53+M53+N53+O53+P53+Q53</f>
        <v>25207.6415541096</v>
      </c>
    </row>
    <row r="54" customFormat="false" ht="17.25" hidden="false" customHeight="true" outlineLevel="0" collapsed="false">
      <c r="A54" s="723"/>
      <c r="B54" s="755" t="s">
        <v>1024</v>
      </c>
      <c r="C54" s="728" t="n">
        <f aca="false">+C31*$C$69</f>
        <v>36978.2802694</v>
      </c>
      <c r="D54" s="800"/>
      <c r="E54" s="800" t="n">
        <f aca="false">+E31*$E$69</f>
        <v>0</v>
      </c>
      <c r="F54" s="728" t="n">
        <f aca="false">+F31*F69</f>
        <v>1921.55883735625</v>
      </c>
      <c r="G54" s="728" t="n">
        <f aca="false">+G31*$G$69</f>
        <v>5643.63943995881</v>
      </c>
      <c r="H54" s="800"/>
      <c r="I54" s="800"/>
      <c r="J54" s="800"/>
      <c r="K54" s="800"/>
      <c r="L54" s="800"/>
      <c r="M54" s="800"/>
      <c r="N54" s="800"/>
      <c r="O54" s="800"/>
      <c r="P54" s="800"/>
      <c r="Q54" s="801"/>
      <c r="R54" s="802" t="n">
        <f aca="false">+C54+D54+E54+F54+G54+H54+I54+J54+K54+L54+M54+N54+O54+P54+Q54</f>
        <v>44543.4785467151</v>
      </c>
    </row>
    <row r="55" customFormat="false" ht="17.25" hidden="false" customHeight="true" outlineLevel="0" collapsed="false">
      <c r="A55" s="723"/>
      <c r="B55" s="755" t="s">
        <v>1025</v>
      </c>
      <c r="C55" s="728" t="n">
        <f aca="false">+C32*$C$69</f>
        <v>705.0885618</v>
      </c>
      <c r="D55" s="800"/>
      <c r="E55" s="800" t="n">
        <f aca="false">+E32*$E$69</f>
        <v>0</v>
      </c>
      <c r="F55" s="728" t="n">
        <f aca="false">+F32*$F$69</f>
        <v>0</v>
      </c>
      <c r="G55" s="728" t="n">
        <f aca="false">+G32*$G$69</f>
        <v>0</v>
      </c>
      <c r="H55" s="800"/>
      <c r="I55" s="800"/>
      <c r="J55" s="800"/>
      <c r="K55" s="800"/>
      <c r="L55" s="800"/>
      <c r="M55" s="800"/>
      <c r="N55" s="800"/>
      <c r="O55" s="800"/>
      <c r="P55" s="800"/>
      <c r="Q55" s="801"/>
      <c r="R55" s="802" t="n">
        <f aca="false">+C55+D55+E55+F55+G55+H55+I55+J55+K55+L55+M55+N55+O55+P55+Q55</f>
        <v>705.0885618</v>
      </c>
    </row>
    <row r="56" customFormat="false" ht="33" hidden="false" customHeight="true" outlineLevel="0" collapsed="false">
      <c r="A56" s="723"/>
      <c r="B56" s="804" t="s">
        <v>1026</v>
      </c>
      <c r="C56" s="728" t="n">
        <f aca="false">+C33*$C$69</f>
        <v>0</v>
      </c>
      <c r="D56" s="800"/>
      <c r="E56" s="800" t="n">
        <f aca="false">+E33*$E$69</f>
        <v>0</v>
      </c>
      <c r="F56" s="728" t="n">
        <f aca="false">+F33*$F$69</f>
        <v>0</v>
      </c>
      <c r="G56" s="728" t="n">
        <f aca="false">+G33*$G$69</f>
        <v>0</v>
      </c>
      <c r="H56" s="800"/>
      <c r="I56" s="800"/>
      <c r="J56" s="800"/>
      <c r="K56" s="800"/>
      <c r="L56" s="800"/>
      <c r="M56" s="800"/>
      <c r="N56" s="800"/>
      <c r="O56" s="800"/>
      <c r="P56" s="800"/>
      <c r="Q56" s="801"/>
      <c r="R56" s="733" t="n">
        <f aca="false">+C56+D56+E56+F56+G56+H56+I56+J56+K56+L56+M56+N56+O56+P56+Q56</f>
        <v>0</v>
      </c>
    </row>
    <row r="57" customFormat="false" ht="13.5" hidden="false" customHeight="true" outlineLevel="0" collapsed="false">
      <c r="A57" s="723"/>
      <c r="B57" s="805" t="s">
        <v>1027</v>
      </c>
      <c r="C57" s="806" t="n">
        <f aca="false">SUM(C52:C56)</f>
        <v>56412.0984761463</v>
      </c>
      <c r="D57" s="807" t="n">
        <f aca="false">SUM(D52:D56)</f>
        <v>0</v>
      </c>
      <c r="E57" s="807" t="n">
        <f aca="false">SUM(E52:E56)</f>
        <v>0</v>
      </c>
      <c r="F57" s="806" t="n">
        <f aca="false">SUM(F52:F56)</f>
        <v>2782.55871079912</v>
      </c>
      <c r="G57" s="806" t="n">
        <f aca="false">SUM(G52:G56)</f>
        <v>12797.1689882932</v>
      </c>
      <c r="H57" s="807" t="n">
        <f aca="false">SUM(H52:H56)</f>
        <v>0</v>
      </c>
      <c r="I57" s="807" t="n">
        <f aca="false">SUM(I52:I56)</f>
        <v>0</v>
      </c>
      <c r="J57" s="807" t="n">
        <f aca="false">SUM(J52:J56)</f>
        <v>0</v>
      </c>
      <c r="K57" s="807" t="n">
        <f aca="false">SUM(K52:K56)</f>
        <v>0</v>
      </c>
      <c r="L57" s="806" t="n">
        <f aca="false">SUM(L52:L56)</f>
        <v>0</v>
      </c>
      <c r="M57" s="807" t="n">
        <f aca="false">SUM(M52:M56)</f>
        <v>0</v>
      </c>
      <c r="N57" s="807" t="n">
        <f aca="false">SUM(N52:N56)</f>
        <v>0</v>
      </c>
      <c r="O57" s="807" t="n">
        <f aca="false">SUM(O52:O56)</f>
        <v>0</v>
      </c>
      <c r="P57" s="807" t="n">
        <f aca="false">SUM(P52:P56)</f>
        <v>0</v>
      </c>
      <c r="Q57" s="808" t="n">
        <f aca="false">SUM(Q52:Q56)</f>
        <v>0</v>
      </c>
      <c r="R57" s="809" t="n">
        <f aca="false">SUM(R52:R56)</f>
        <v>71991.8261752386</v>
      </c>
      <c r="S57" s="751"/>
    </row>
    <row r="58" s="799" customFormat="true" ht="15" hidden="false" customHeight="true" outlineLevel="0" collapsed="false">
      <c r="A58" s="791"/>
      <c r="B58" s="792" t="s">
        <v>1028</v>
      </c>
      <c r="C58" s="810"/>
      <c r="D58" s="811"/>
      <c r="E58" s="811"/>
      <c r="F58" s="811"/>
      <c r="G58" s="811"/>
      <c r="H58" s="811"/>
      <c r="I58" s="811"/>
      <c r="J58" s="811"/>
      <c r="K58" s="811"/>
      <c r="L58" s="811"/>
      <c r="M58" s="812"/>
      <c r="N58" s="812"/>
      <c r="O58" s="811"/>
      <c r="P58" s="812"/>
      <c r="Q58" s="813"/>
      <c r="R58" s="814"/>
    </row>
    <row r="59" customFormat="false" ht="13.5" hidden="false" customHeight="true" outlineLevel="0" collapsed="false">
      <c r="A59" s="723"/>
      <c r="B59" s="755" t="s">
        <v>1029</v>
      </c>
      <c r="C59" s="815"/>
      <c r="D59" s="800"/>
      <c r="E59" s="800"/>
      <c r="F59" s="800"/>
      <c r="G59" s="800"/>
      <c r="H59" s="728" t="n">
        <f aca="false">+H36*$H$69</f>
        <v>309.93464232795</v>
      </c>
      <c r="I59" s="800" t="n">
        <f aca="false">I36*$I$69</f>
        <v>53.369762355</v>
      </c>
      <c r="J59" s="800"/>
      <c r="K59" s="800"/>
      <c r="L59" s="800"/>
      <c r="M59" s="800"/>
      <c r="N59" s="800"/>
      <c r="O59" s="800"/>
      <c r="P59" s="800"/>
      <c r="Q59" s="801"/>
      <c r="R59" s="733" t="n">
        <f aca="false">+H59+I59</f>
        <v>363.30440468295</v>
      </c>
    </row>
    <row r="60" customFormat="false" ht="14.25" hidden="false" customHeight="true" outlineLevel="0" collapsed="false">
      <c r="A60" s="723"/>
      <c r="B60" s="755" t="s">
        <v>1030</v>
      </c>
      <c r="C60" s="815"/>
      <c r="D60" s="800"/>
      <c r="E60" s="800"/>
      <c r="F60" s="800"/>
      <c r="G60" s="800"/>
      <c r="H60" s="728" t="n">
        <f aca="false">+H37*$H$69</f>
        <v>0</v>
      </c>
      <c r="I60" s="800"/>
      <c r="J60" s="800"/>
      <c r="K60" s="800"/>
      <c r="L60" s="800"/>
      <c r="M60" s="800"/>
      <c r="N60" s="800"/>
      <c r="O60" s="800"/>
      <c r="P60" s="800"/>
      <c r="Q60" s="801"/>
      <c r="R60" s="733" t="n">
        <f aca="false">+H60</f>
        <v>0</v>
      </c>
    </row>
    <row r="61" customFormat="false" ht="15.75" hidden="false" customHeight="true" outlineLevel="0" collapsed="false">
      <c r="A61" s="723"/>
      <c r="B61" s="755" t="s">
        <v>1031</v>
      </c>
      <c r="C61" s="815"/>
      <c r="D61" s="800"/>
      <c r="E61" s="800"/>
      <c r="F61" s="800"/>
      <c r="G61" s="800"/>
      <c r="H61" s="728" t="n">
        <f aca="false">+H38*$H$69</f>
        <v>13640.3826611868</v>
      </c>
      <c r="I61" s="800" t="n">
        <f aca="false">+I38*I69</f>
        <v>8674.37102990949</v>
      </c>
      <c r="J61" s="800"/>
      <c r="K61" s="800"/>
      <c r="L61" s="800"/>
      <c r="M61" s="800"/>
      <c r="N61" s="800"/>
      <c r="O61" s="800"/>
      <c r="P61" s="800"/>
      <c r="Q61" s="801"/>
      <c r="R61" s="733" t="n">
        <f aca="false">+H61+I61</f>
        <v>22314.7536910963</v>
      </c>
    </row>
    <row r="62" customFormat="false" ht="15.75" hidden="false" customHeight="false" outlineLevel="0" collapsed="false">
      <c r="A62" s="723"/>
      <c r="B62" s="816" t="s">
        <v>1032</v>
      </c>
      <c r="C62" s="807" t="n">
        <f aca="false">SUM(C59:C61)</f>
        <v>0</v>
      </c>
      <c r="D62" s="807" t="n">
        <f aca="false">SUM(D59:D61)</f>
        <v>0</v>
      </c>
      <c r="E62" s="807" t="n">
        <f aca="false">SUM(E59:E61)</f>
        <v>0</v>
      </c>
      <c r="F62" s="807" t="n">
        <f aca="false">SUM(F59:F61)</f>
        <v>0</v>
      </c>
      <c r="G62" s="807" t="n">
        <f aca="false">SUM(G59:G61)</f>
        <v>0</v>
      </c>
      <c r="H62" s="806" t="n">
        <f aca="false">SUM(H59:H61)</f>
        <v>13950.3173035147</v>
      </c>
      <c r="I62" s="807" t="n">
        <f aca="false">SUM(I59:I61)</f>
        <v>8727.74079226449</v>
      </c>
      <c r="J62" s="807" t="n">
        <f aca="false">SUM(J59:J61)</f>
        <v>0</v>
      </c>
      <c r="K62" s="807" t="n">
        <f aca="false">SUM(K59:K61)</f>
        <v>0</v>
      </c>
      <c r="L62" s="807" t="n">
        <f aca="false">SUM(L59:L61)</f>
        <v>0</v>
      </c>
      <c r="M62" s="807" t="n">
        <f aca="false">SUM(M59:M61)</f>
        <v>0</v>
      </c>
      <c r="N62" s="807" t="n">
        <f aca="false">SUM(N59:N61)</f>
        <v>0</v>
      </c>
      <c r="O62" s="807" t="n">
        <f aca="false">SUM(O59:O61)</f>
        <v>0</v>
      </c>
      <c r="P62" s="807" t="n">
        <f aca="false">SUM(P59:P61)</f>
        <v>0</v>
      </c>
      <c r="Q62" s="808" t="n">
        <f aca="false">SUM(Q59:Q61)</f>
        <v>0</v>
      </c>
      <c r="R62" s="817" t="n">
        <f aca="false">SUM(R59:R61)</f>
        <v>22678.0580957792</v>
      </c>
      <c r="S62" s="751"/>
    </row>
    <row r="63" s="799" customFormat="true" ht="15" hidden="false" customHeight="true" outlineLevel="0" collapsed="false">
      <c r="A63" s="791"/>
      <c r="B63" s="818" t="s">
        <v>1039</v>
      </c>
      <c r="C63" s="819"/>
      <c r="D63" s="811"/>
      <c r="E63" s="811"/>
      <c r="F63" s="811"/>
      <c r="G63" s="811"/>
      <c r="H63" s="811"/>
      <c r="I63" s="811"/>
      <c r="J63" s="811"/>
      <c r="K63" s="811"/>
      <c r="L63" s="811"/>
      <c r="M63" s="812"/>
      <c r="N63" s="812"/>
      <c r="O63" s="811"/>
      <c r="P63" s="812"/>
      <c r="Q63" s="813"/>
      <c r="R63" s="814"/>
      <c r="S63" s="820"/>
    </row>
    <row r="64" customFormat="false" ht="15" hidden="false" customHeight="true" outlineLevel="0" collapsed="false">
      <c r="A64" s="791"/>
      <c r="B64" s="821" t="s">
        <v>1040</v>
      </c>
      <c r="C64" s="822"/>
      <c r="D64" s="822"/>
      <c r="E64" s="822"/>
      <c r="F64" s="822"/>
      <c r="G64" s="822"/>
      <c r="H64" s="822"/>
      <c r="I64" s="822"/>
      <c r="J64" s="822"/>
      <c r="K64" s="822"/>
      <c r="L64" s="822"/>
      <c r="M64" s="822"/>
      <c r="N64" s="822"/>
      <c r="O64" s="822"/>
      <c r="P64" s="822"/>
      <c r="Q64" s="822"/>
      <c r="R64" s="802" t="n">
        <f aca="false">+'T. PAES'!B69</f>
        <v>8729.33717074606</v>
      </c>
    </row>
    <row r="65" customFormat="false" ht="15" hidden="false" customHeight="true" outlineLevel="0" collapsed="false">
      <c r="A65" s="791"/>
      <c r="B65" s="823" t="s">
        <v>1041</v>
      </c>
      <c r="C65" s="822"/>
      <c r="D65" s="822"/>
      <c r="E65" s="822"/>
      <c r="F65" s="822"/>
      <c r="G65" s="822"/>
      <c r="H65" s="822"/>
      <c r="I65" s="822"/>
      <c r="J65" s="822"/>
      <c r="K65" s="822"/>
      <c r="L65" s="822"/>
      <c r="M65" s="822"/>
      <c r="N65" s="822"/>
      <c r="O65" s="822"/>
      <c r="P65" s="822"/>
      <c r="Q65" s="822"/>
      <c r="R65" s="802" t="n">
        <f aca="false">+'T. PAES'!B70</f>
        <v>5059.356359382</v>
      </c>
    </row>
    <row r="66" customFormat="false" ht="15.75" hidden="false" customHeight="false" outlineLevel="0" collapsed="false">
      <c r="A66" s="723"/>
      <c r="B66" s="824" t="s">
        <v>1042</v>
      </c>
      <c r="C66" s="822"/>
      <c r="D66" s="822"/>
      <c r="E66" s="822"/>
      <c r="F66" s="822"/>
      <c r="G66" s="822"/>
      <c r="H66" s="822"/>
      <c r="I66" s="822"/>
      <c r="J66" s="822"/>
      <c r="K66" s="822"/>
      <c r="L66" s="822"/>
      <c r="M66" s="822"/>
      <c r="N66" s="822"/>
      <c r="O66" s="822"/>
      <c r="P66" s="822"/>
      <c r="Q66" s="822"/>
      <c r="R66" s="825"/>
    </row>
    <row r="67" customFormat="false" ht="17.25" hidden="false" customHeight="false" outlineLevel="0" collapsed="false">
      <c r="A67" s="723"/>
      <c r="B67" s="826" t="s">
        <v>272</v>
      </c>
      <c r="C67" s="767" t="n">
        <f aca="false">C57+C62</f>
        <v>56412.0984761463</v>
      </c>
      <c r="D67" s="827" t="n">
        <f aca="false">D57+D62</f>
        <v>0</v>
      </c>
      <c r="E67" s="827" t="n">
        <f aca="false">E57+E62</f>
        <v>0</v>
      </c>
      <c r="F67" s="827" t="n">
        <f aca="false">F57+F62</f>
        <v>2782.55871079912</v>
      </c>
      <c r="G67" s="827" t="n">
        <f aca="false">G57+G62</f>
        <v>12797.1689882932</v>
      </c>
      <c r="H67" s="827" t="n">
        <f aca="false">H57+H62</f>
        <v>13950.3173035147</v>
      </c>
      <c r="I67" s="827" t="n">
        <f aca="false">I57+I62</f>
        <v>8727.74079226449</v>
      </c>
      <c r="J67" s="827" t="n">
        <f aca="false">J57+J62</f>
        <v>0</v>
      </c>
      <c r="K67" s="827" t="n">
        <f aca="false">K57+K62</f>
        <v>0</v>
      </c>
      <c r="L67" s="827" t="n">
        <f aca="false">L57+L62</f>
        <v>0</v>
      </c>
      <c r="M67" s="827" t="n">
        <f aca="false">M57+M62</f>
        <v>0</v>
      </c>
      <c r="N67" s="827" t="n">
        <f aca="false">N57+N62</f>
        <v>0</v>
      </c>
      <c r="O67" s="827" t="n">
        <f aca="false">O57+O62</f>
        <v>0</v>
      </c>
      <c r="P67" s="827" t="n">
        <f aca="false">P57+P62</f>
        <v>0</v>
      </c>
      <c r="Q67" s="771" t="n">
        <f aca="false">Q57+Q62</f>
        <v>0</v>
      </c>
      <c r="R67" s="775" t="n">
        <f aca="false">R57+R62+R64+R65</f>
        <v>108458.577801146</v>
      </c>
    </row>
    <row r="68" customFormat="false" ht="15.75" hidden="false" customHeight="true" outlineLevel="0" collapsed="false">
      <c r="A68" s="701"/>
      <c r="B68" s="783"/>
      <c r="C68" s="828"/>
      <c r="D68" s="828"/>
      <c r="E68" s="829"/>
      <c r="F68" s="829"/>
      <c r="G68" s="829"/>
      <c r="H68" s="829"/>
      <c r="I68" s="829"/>
      <c r="J68" s="829"/>
      <c r="K68" s="829"/>
      <c r="L68" s="829"/>
      <c r="M68" s="829"/>
      <c r="N68" s="829"/>
      <c r="O68" s="829"/>
      <c r="P68" s="829"/>
      <c r="Q68" s="829"/>
      <c r="R68" s="829"/>
    </row>
    <row r="69" customFormat="false" ht="15.75" hidden="false" customHeight="true" outlineLevel="0" collapsed="false">
      <c r="A69" s="701"/>
      <c r="B69" s="830" t="s">
        <v>1043</v>
      </c>
      <c r="C69" s="831" t="n">
        <f aca="false">+'T.AJUNTAMENT'!B7</f>
        <v>0.8438</v>
      </c>
      <c r="D69" s="832"/>
      <c r="E69" s="832" t="n">
        <f aca="false">+'T.AJUNTAMENT'!B8</f>
        <v>0.202</v>
      </c>
      <c r="F69" s="833" t="n">
        <v>0.267</v>
      </c>
      <c r="G69" s="834" t="n">
        <f aca="false">+'T.AJUNTAMENT'!B10</f>
        <v>0.267</v>
      </c>
      <c r="H69" s="832" t="n">
        <f aca="false">+'T.AJUNTAMENT'!B10</f>
        <v>0.267</v>
      </c>
      <c r="I69" s="832" t="n">
        <f aca="false">+'T.AJUNTAMENT'!B11</f>
        <v>0.249</v>
      </c>
      <c r="J69" s="833"/>
      <c r="K69" s="832"/>
      <c r="L69" s="832" t="n">
        <f aca="false">+'T.AJUNTAMENT'!B12</f>
        <v>0.279</v>
      </c>
      <c r="M69" s="832"/>
      <c r="N69" s="833"/>
      <c r="O69" s="834"/>
      <c r="P69" s="832"/>
      <c r="Q69" s="835"/>
      <c r="R69" s="829"/>
    </row>
    <row r="70" customFormat="false" ht="32.25" hidden="false" customHeight="true" outlineLevel="0" collapsed="false">
      <c r="A70" s="701"/>
      <c r="B70" s="836" t="s">
        <v>1044</v>
      </c>
      <c r="C70" s="837"/>
      <c r="D70" s="838"/>
      <c r="E70" s="839"/>
      <c r="F70" s="839"/>
      <c r="G70" s="839"/>
      <c r="H70" s="839"/>
      <c r="I70" s="839"/>
      <c r="J70" s="839"/>
      <c r="K70" s="839"/>
      <c r="L70" s="839"/>
      <c r="M70" s="839"/>
      <c r="N70" s="839"/>
      <c r="O70" s="839"/>
      <c r="P70" s="839"/>
      <c r="Q70" s="839"/>
      <c r="R70" s="829"/>
    </row>
    <row r="71" customFormat="false" ht="15.75" hidden="false" customHeight="true" outlineLevel="0" collapsed="false">
      <c r="A71" s="701"/>
      <c r="B71" s="840"/>
      <c r="C71" s="829"/>
      <c r="D71" s="829"/>
      <c r="E71" s="829"/>
      <c r="F71" s="829"/>
      <c r="G71" s="829"/>
      <c r="H71" s="829"/>
      <c r="I71" s="829"/>
      <c r="J71" s="829"/>
      <c r="K71" s="829"/>
      <c r="L71" s="829"/>
      <c r="M71" s="829"/>
      <c r="N71" s="829"/>
      <c r="O71" s="829"/>
      <c r="P71" s="829"/>
      <c r="Q71" s="829"/>
      <c r="R71" s="829"/>
    </row>
    <row r="72" customFormat="false" ht="15.75" hidden="false" customHeight="true" outlineLevel="0" collapsed="false">
      <c r="A72" s="701"/>
      <c r="B72" s="674" t="s">
        <v>1045</v>
      </c>
      <c r="D72" s="840"/>
      <c r="P72" s="682"/>
      <c r="Q72" s="682"/>
      <c r="R72" s="682"/>
      <c r="S72" s="682"/>
    </row>
    <row r="73" customFormat="false" ht="15" hidden="false" customHeight="true" outlineLevel="0" collapsed="false">
      <c r="A73" s="682"/>
      <c r="B73" s="708" t="s">
        <v>1002</v>
      </c>
      <c r="C73" s="708"/>
      <c r="D73" s="708"/>
      <c r="E73" s="708"/>
      <c r="F73" s="708"/>
      <c r="G73" s="708"/>
      <c r="H73" s="708"/>
      <c r="I73" s="708"/>
      <c r="J73" s="708"/>
      <c r="K73" s="708"/>
      <c r="L73" s="708"/>
      <c r="M73" s="708"/>
      <c r="N73" s="708"/>
      <c r="O73" s="708"/>
      <c r="P73" s="708"/>
      <c r="Q73" s="708"/>
      <c r="R73" s="684"/>
    </row>
    <row r="74" customFormat="false" ht="15" hidden="false" customHeight="true" outlineLevel="0" collapsed="false">
      <c r="A74" s="682"/>
      <c r="B74" s="709"/>
      <c r="C74" s="709"/>
      <c r="D74" s="709"/>
      <c r="E74" s="709"/>
      <c r="F74" s="709"/>
      <c r="G74" s="709"/>
      <c r="H74" s="709"/>
      <c r="I74" s="709"/>
      <c r="J74" s="709"/>
      <c r="K74" s="709"/>
      <c r="L74" s="709"/>
      <c r="M74" s="709"/>
      <c r="N74" s="709"/>
      <c r="O74" s="709"/>
      <c r="P74" s="709"/>
      <c r="Q74" s="709"/>
      <c r="R74" s="709"/>
    </row>
    <row r="75" customFormat="false" ht="30.95" hidden="false" customHeight="true" outlineLevel="0" collapsed="false">
      <c r="A75" s="682"/>
      <c r="B75" s="841" t="s">
        <v>1046</v>
      </c>
      <c r="C75" s="841" t="s">
        <v>1047</v>
      </c>
      <c r="D75" s="842" t="s">
        <v>1048</v>
      </c>
      <c r="E75" s="842"/>
      <c r="F75" s="842"/>
      <c r="G75" s="842"/>
      <c r="H75" s="842"/>
      <c r="I75" s="842"/>
      <c r="J75" s="842"/>
      <c r="K75" s="842"/>
      <c r="L75" s="842"/>
      <c r="M75" s="842"/>
      <c r="N75" s="842"/>
      <c r="O75" s="843" t="s">
        <v>1049</v>
      </c>
      <c r="P75" s="841" t="s">
        <v>1050</v>
      </c>
      <c r="Q75" s="841"/>
      <c r="R75" s="701"/>
      <c r="S75" s="682"/>
    </row>
    <row r="76" customFormat="false" ht="15" hidden="false" customHeight="true" outlineLevel="0" collapsed="false">
      <c r="A76" s="682"/>
      <c r="B76" s="841"/>
      <c r="C76" s="841"/>
      <c r="D76" s="844" t="s">
        <v>1007</v>
      </c>
      <c r="E76" s="844"/>
      <c r="F76" s="844"/>
      <c r="G76" s="844"/>
      <c r="H76" s="844"/>
      <c r="I76" s="845" t="s">
        <v>1051</v>
      </c>
      <c r="J76" s="845" t="s">
        <v>1052</v>
      </c>
      <c r="K76" s="846" t="s">
        <v>1015</v>
      </c>
      <c r="L76" s="846" t="s">
        <v>1017</v>
      </c>
      <c r="M76" s="846" t="s">
        <v>1053</v>
      </c>
      <c r="N76" s="847" t="s">
        <v>1054</v>
      </c>
      <c r="O76" s="843"/>
      <c r="P76" s="841"/>
      <c r="Q76" s="841"/>
      <c r="R76" s="701"/>
      <c r="S76" s="682"/>
    </row>
    <row r="77" customFormat="false" ht="15" hidden="false" customHeight="true" outlineLevel="0" collapsed="false">
      <c r="A77" s="682"/>
      <c r="B77" s="841"/>
      <c r="C77" s="841"/>
      <c r="D77" s="848" t="s">
        <v>116</v>
      </c>
      <c r="E77" s="719" t="s">
        <v>1009</v>
      </c>
      <c r="F77" s="715" t="s">
        <v>1010</v>
      </c>
      <c r="G77" s="849" t="s">
        <v>1012</v>
      </c>
      <c r="H77" s="850" t="s">
        <v>1013</v>
      </c>
      <c r="I77" s="845"/>
      <c r="J77" s="845"/>
      <c r="K77" s="846"/>
      <c r="L77" s="846"/>
      <c r="M77" s="846"/>
      <c r="N77" s="847"/>
      <c r="O77" s="843"/>
      <c r="P77" s="841"/>
      <c r="Q77" s="841"/>
      <c r="R77" s="701"/>
      <c r="S77" s="682"/>
    </row>
    <row r="78" customFormat="false" ht="15" hidden="false" customHeight="true" outlineLevel="0" collapsed="false">
      <c r="A78" s="723"/>
      <c r="B78" s="851" t="s">
        <v>1055</v>
      </c>
      <c r="C78" s="852"/>
      <c r="D78" s="853"/>
      <c r="E78" s="854"/>
      <c r="F78" s="854"/>
      <c r="G78" s="855"/>
      <c r="H78" s="856"/>
      <c r="I78" s="857"/>
      <c r="J78" s="854"/>
      <c r="K78" s="854"/>
      <c r="L78" s="854"/>
      <c r="M78" s="858"/>
      <c r="N78" s="859"/>
      <c r="O78" s="860"/>
      <c r="P78" s="860"/>
      <c r="Q78" s="860"/>
      <c r="R78" s="682"/>
      <c r="S78" s="682"/>
    </row>
    <row r="79" customFormat="false" ht="15" hidden="false" customHeight="true" outlineLevel="0" collapsed="false">
      <c r="A79" s="723"/>
      <c r="B79" s="861" t="s">
        <v>1056</v>
      </c>
      <c r="C79" s="862"/>
      <c r="D79" s="853"/>
      <c r="E79" s="854"/>
      <c r="F79" s="854"/>
      <c r="G79" s="855"/>
      <c r="H79" s="856"/>
      <c r="I79" s="857"/>
      <c r="J79" s="854"/>
      <c r="K79" s="854"/>
      <c r="L79" s="854"/>
      <c r="M79" s="863"/>
      <c r="N79" s="859"/>
      <c r="O79" s="864"/>
      <c r="P79" s="864"/>
      <c r="Q79" s="864"/>
    </row>
    <row r="80" customFormat="false" ht="15" hidden="false" customHeight="true" outlineLevel="0" collapsed="false">
      <c r="A80" s="723"/>
      <c r="B80" s="861" t="s">
        <v>244</v>
      </c>
      <c r="C80" s="862" t="n">
        <f aca="false">-'T. PAES'!B28</f>
        <v>11.83</v>
      </c>
      <c r="D80" s="853"/>
      <c r="E80" s="854"/>
      <c r="F80" s="854"/>
      <c r="G80" s="855"/>
      <c r="H80" s="856"/>
      <c r="I80" s="857"/>
      <c r="J80" s="854"/>
      <c r="K80" s="854"/>
      <c r="L80" s="854"/>
      <c r="M80" s="854"/>
      <c r="N80" s="859"/>
      <c r="O80" s="865" t="n">
        <f aca="false">+C80*C69</f>
        <v>9.982154</v>
      </c>
      <c r="P80" s="864"/>
      <c r="Q80" s="864"/>
      <c r="R80" s="682"/>
    </row>
    <row r="81" customFormat="false" ht="15" hidden="false" customHeight="true" outlineLevel="0" collapsed="false">
      <c r="A81" s="723"/>
      <c r="B81" s="866" t="s">
        <v>1057</v>
      </c>
      <c r="C81" s="862"/>
      <c r="D81" s="867"/>
      <c r="E81" s="868"/>
      <c r="F81" s="868"/>
      <c r="G81" s="869"/>
      <c r="H81" s="870"/>
      <c r="I81" s="871"/>
      <c r="J81" s="868"/>
      <c r="K81" s="868"/>
      <c r="L81" s="868"/>
      <c r="M81" s="868"/>
      <c r="N81" s="872"/>
      <c r="O81" s="864"/>
      <c r="P81" s="864"/>
      <c r="Q81" s="864"/>
      <c r="R81" s="701"/>
    </row>
    <row r="82" customFormat="false" ht="32.25" hidden="false" customHeight="true" outlineLevel="0" collapsed="false">
      <c r="A82" s="723"/>
      <c r="B82" s="873" t="s">
        <v>1058</v>
      </c>
      <c r="C82" s="874"/>
      <c r="D82" s="875"/>
      <c r="E82" s="876"/>
      <c r="F82" s="876"/>
      <c r="G82" s="876"/>
      <c r="H82" s="877"/>
      <c r="I82" s="878"/>
      <c r="J82" s="876"/>
      <c r="K82" s="876"/>
      <c r="L82" s="876"/>
      <c r="M82" s="879"/>
      <c r="N82" s="880"/>
      <c r="O82" s="881"/>
      <c r="P82" s="881"/>
      <c r="Q82" s="881"/>
      <c r="R82" s="701"/>
    </row>
    <row r="83" customFormat="false" ht="15" hidden="false" customHeight="true" outlineLevel="0" collapsed="false">
      <c r="A83" s="682"/>
      <c r="B83" s="882" t="s">
        <v>272</v>
      </c>
      <c r="C83" s="883" t="n">
        <f aca="false">SUM(C78:C82)</f>
        <v>11.83</v>
      </c>
      <c r="D83" s="884" t="n">
        <f aca="false">SUM(D81:D82)</f>
        <v>0</v>
      </c>
      <c r="E83" s="885" t="n">
        <f aca="false">SUM(E81:E82)</f>
        <v>0</v>
      </c>
      <c r="F83" s="886" t="n">
        <f aca="false">SUM(F81:F82)</f>
        <v>0</v>
      </c>
      <c r="G83" s="886" t="n">
        <f aca="false">SUM(G81:G82)</f>
        <v>0</v>
      </c>
      <c r="H83" s="886" t="n">
        <f aca="false">SUM(H81:H82)</f>
        <v>0</v>
      </c>
      <c r="I83" s="884" t="n">
        <f aca="false">SUM(I81:I82)</f>
        <v>0</v>
      </c>
      <c r="J83" s="885" t="n">
        <f aca="false">SUM(J81:J82)</f>
        <v>0</v>
      </c>
      <c r="K83" s="886" t="n">
        <f aca="false">SUM(K81:K82)</f>
        <v>0</v>
      </c>
      <c r="L83" s="886" t="n">
        <f aca="false">SUM(L81:L82)</f>
        <v>0</v>
      </c>
      <c r="M83" s="886" t="n">
        <f aca="false">SUM(M81:M82)</f>
        <v>0</v>
      </c>
      <c r="N83" s="884" t="n">
        <f aca="false">SUM(N81:N82)</f>
        <v>0</v>
      </c>
      <c r="O83" s="887" t="n">
        <f aca="false">SUM(O78:O82)</f>
        <v>9.982154</v>
      </c>
      <c r="P83" s="888"/>
      <c r="Q83" s="889"/>
      <c r="R83" s="701"/>
    </row>
    <row r="84" customFormat="false" ht="15" hidden="false" customHeight="true" outlineLevel="0" collapsed="false">
      <c r="A84" s="682"/>
      <c r="B84" s="890"/>
      <c r="C84" s="891"/>
      <c r="D84" s="891"/>
      <c r="E84" s="783"/>
      <c r="I84" s="892"/>
      <c r="N84" s="893"/>
    </row>
    <row r="85" customFormat="false" ht="15" hidden="false" customHeight="true" outlineLevel="0" collapsed="false">
      <c r="A85" s="682"/>
      <c r="B85" s="783"/>
      <c r="C85" s="891"/>
      <c r="D85" s="891"/>
    </row>
    <row r="86" customFormat="false" ht="15" hidden="false" customHeight="true" outlineLevel="0" collapsed="false">
      <c r="A86" s="682"/>
      <c r="B86" s="894" t="s">
        <v>1059</v>
      </c>
      <c r="C86" s="894"/>
      <c r="D86" s="895"/>
      <c r="E86" s="896"/>
    </row>
    <row r="87" customFormat="false" ht="15" hidden="false" customHeight="true" outlineLevel="0" collapsed="false">
      <c r="A87" s="682"/>
      <c r="B87" s="708" t="s">
        <v>1002</v>
      </c>
      <c r="C87" s="708"/>
      <c r="D87" s="708"/>
      <c r="E87" s="708"/>
      <c r="F87" s="708"/>
      <c r="G87" s="708"/>
      <c r="H87" s="708"/>
      <c r="I87" s="708"/>
      <c r="J87" s="708"/>
      <c r="K87" s="708"/>
      <c r="L87" s="708"/>
      <c r="M87" s="708"/>
      <c r="N87" s="708"/>
      <c r="O87" s="708"/>
      <c r="P87" s="708"/>
      <c r="Q87" s="684"/>
      <c r="R87" s="684"/>
    </row>
    <row r="88" customFormat="false" ht="15" hidden="false" customHeight="true" outlineLevel="0" collapsed="false">
      <c r="A88" s="682"/>
      <c r="B88" s="709"/>
      <c r="C88" s="709"/>
      <c r="D88" s="709"/>
      <c r="E88" s="709"/>
      <c r="F88" s="709"/>
      <c r="G88" s="709"/>
      <c r="H88" s="709"/>
      <c r="I88" s="709"/>
      <c r="J88" s="709"/>
      <c r="K88" s="709"/>
      <c r="L88" s="709"/>
      <c r="M88" s="709"/>
      <c r="N88" s="709"/>
      <c r="O88" s="709"/>
      <c r="P88" s="709"/>
      <c r="Q88" s="709"/>
      <c r="R88" s="709"/>
    </row>
    <row r="89" customFormat="false" ht="30.95" hidden="false" customHeight="true" outlineLevel="0" collapsed="false">
      <c r="A89" s="682"/>
      <c r="B89" s="841" t="s">
        <v>1060</v>
      </c>
      <c r="C89" s="841" t="s">
        <v>1061</v>
      </c>
      <c r="D89" s="842" t="s">
        <v>1048</v>
      </c>
      <c r="E89" s="842"/>
      <c r="F89" s="842"/>
      <c r="G89" s="842"/>
      <c r="H89" s="842"/>
      <c r="I89" s="842"/>
      <c r="J89" s="842"/>
      <c r="K89" s="842"/>
      <c r="L89" s="842"/>
      <c r="M89" s="842"/>
      <c r="N89" s="843" t="s">
        <v>1049</v>
      </c>
      <c r="O89" s="841" t="s">
        <v>1062</v>
      </c>
      <c r="P89" s="841"/>
      <c r="Q89" s="897"/>
      <c r="R89" s="701"/>
    </row>
    <row r="90" customFormat="false" ht="15" hidden="false" customHeight="true" outlineLevel="0" collapsed="false">
      <c r="A90" s="682"/>
      <c r="B90" s="841"/>
      <c r="C90" s="841"/>
      <c r="D90" s="898" t="s">
        <v>1007</v>
      </c>
      <c r="E90" s="898"/>
      <c r="F90" s="898"/>
      <c r="G90" s="898"/>
      <c r="H90" s="898"/>
      <c r="I90" s="849" t="s">
        <v>1052</v>
      </c>
      <c r="J90" s="849" t="s">
        <v>1015</v>
      </c>
      <c r="K90" s="715" t="s">
        <v>1017</v>
      </c>
      <c r="L90" s="846" t="s">
        <v>1053</v>
      </c>
      <c r="M90" s="847" t="s">
        <v>1054</v>
      </c>
      <c r="N90" s="843"/>
      <c r="O90" s="841"/>
      <c r="P90" s="841"/>
      <c r="Q90" s="897"/>
      <c r="R90" s="701"/>
    </row>
    <row r="91" customFormat="false" ht="15" hidden="false" customHeight="true" outlineLevel="0" collapsed="false">
      <c r="A91" s="682"/>
      <c r="B91" s="841"/>
      <c r="C91" s="841"/>
      <c r="D91" s="714" t="s">
        <v>116</v>
      </c>
      <c r="E91" s="719" t="s">
        <v>1009</v>
      </c>
      <c r="F91" s="715" t="s">
        <v>1010</v>
      </c>
      <c r="G91" s="719" t="s">
        <v>1012</v>
      </c>
      <c r="H91" s="899" t="s">
        <v>1013</v>
      </c>
      <c r="I91" s="849"/>
      <c r="J91" s="849"/>
      <c r="K91" s="715"/>
      <c r="L91" s="846"/>
      <c r="M91" s="847"/>
      <c r="N91" s="843"/>
      <c r="O91" s="841"/>
      <c r="P91" s="841"/>
      <c r="Q91" s="897"/>
      <c r="R91" s="701"/>
    </row>
    <row r="92" customFormat="false" ht="15" hidden="false" customHeight="true" outlineLevel="0" collapsed="false">
      <c r="A92" s="723"/>
      <c r="B92" s="900" t="s">
        <v>1057</v>
      </c>
      <c r="C92" s="901"/>
      <c r="D92" s="902"/>
      <c r="E92" s="903"/>
      <c r="F92" s="903"/>
      <c r="G92" s="904"/>
      <c r="H92" s="905"/>
      <c r="I92" s="902"/>
      <c r="J92" s="903"/>
      <c r="K92" s="903"/>
      <c r="L92" s="903"/>
      <c r="M92" s="906"/>
      <c r="N92" s="907"/>
      <c r="O92" s="908"/>
      <c r="P92" s="908"/>
      <c r="Q92" s="909"/>
      <c r="R92" s="680"/>
    </row>
    <row r="93" customFormat="false" ht="15" hidden="false" customHeight="true" outlineLevel="0" collapsed="false">
      <c r="A93" s="723"/>
      <c r="B93" s="910" t="s">
        <v>1063</v>
      </c>
      <c r="C93" s="911"/>
      <c r="D93" s="912"/>
      <c r="E93" s="913"/>
      <c r="F93" s="913"/>
      <c r="G93" s="914"/>
      <c r="H93" s="915"/>
      <c r="I93" s="912"/>
      <c r="J93" s="913"/>
      <c r="K93" s="913"/>
      <c r="L93" s="913"/>
      <c r="M93" s="916"/>
      <c r="N93" s="864"/>
      <c r="O93" s="917"/>
      <c r="P93" s="917"/>
      <c r="Q93" s="918"/>
      <c r="R93" s="701"/>
    </row>
    <row r="94" customFormat="false" ht="33.75" hidden="false" customHeight="true" outlineLevel="0" collapsed="false">
      <c r="A94" s="723"/>
      <c r="B94" s="919" t="s">
        <v>1064</v>
      </c>
      <c r="C94" s="920"/>
      <c r="D94" s="878"/>
      <c r="E94" s="876"/>
      <c r="F94" s="876"/>
      <c r="G94" s="876"/>
      <c r="H94" s="877"/>
      <c r="I94" s="878"/>
      <c r="J94" s="876"/>
      <c r="K94" s="876"/>
      <c r="L94" s="876"/>
      <c r="M94" s="921"/>
      <c r="N94" s="922"/>
      <c r="O94" s="881"/>
      <c r="P94" s="881"/>
      <c r="Q94" s="918"/>
      <c r="R94" s="701"/>
    </row>
    <row r="95" customFormat="false" ht="15" hidden="false" customHeight="true" outlineLevel="0" collapsed="false">
      <c r="A95" s="682"/>
      <c r="B95" s="923" t="s">
        <v>272</v>
      </c>
      <c r="C95" s="924" t="n">
        <f aca="false">SUM(C92:C94)</f>
        <v>0</v>
      </c>
      <c r="D95" s="885" t="n">
        <f aca="false">SUM(D92:D94)</f>
        <v>0</v>
      </c>
      <c r="E95" s="884" t="n">
        <f aca="false">SUM(E92:E94)</f>
        <v>0</v>
      </c>
      <c r="F95" s="884" t="n">
        <f aca="false">SUM(F92:F94)</f>
        <v>0</v>
      </c>
      <c r="G95" s="884" t="n">
        <f aca="false">SUM(G92:G94)</f>
        <v>0</v>
      </c>
      <c r="H95" s="885" t="n">
        <f aca="false">SUM(H92:H94)</f>
        <v>0</v>
      </c>
      <c r="I95" s="886" t="n">
        <f aca="false">SUM(I92:I94)</f>
        <v>0</v>
      </c>
      <c r="J95" s="886" t="n">
        <f aca="false">SUM(J92:J94)</f>
        <v>0</v>
      </c>
      <c r="K95" s="886" t="n">
        <f aca="false">SUM(K92:K94)</f>
        <v>0</v>
      </c>
      <c r="L95" s="886" t="n">
        <f aca="false">SUM(L92:L94)</f>
        <v>0</v>
      </c>
      <c r="M95" s="886" t="n">
        <f aca="false">SUM(M92:M94)</f>
        <v>0</v>
      </c>
      <c r="N95" s="924" t="n">
        <f aca="false">SUM(N92:N94)</f>
        <v>0</v>
      </c>
      <c r="O95" s="925"/>
      <c r="P95" s="925"/>
      <c r="Q95" s="918"/>
      <c r="R95" s="701"/>
    </row>
    <row r="96" customFormat="false" ht="15" hidden="false" customHeight="true" outlineLevel="0" collapsed="false">
      <c r="A96" s="682"/>
      <c r="B96" s="926"/>
      <c r="C96" s="926"/>
      <c r="D96" s="890"/>
      <c r="E96" s="927"/>
      <c r="F96" s="892"/>
      <c r="G96" s="892"/>
      <c r="H96" s="892"/>
      <c r="I96" s="892"/>
      <c r="J96" s="892"/>
      <c r="K96" s="892"/>
      <c r="L96" s="892"/>
      <c r="N96" s="892"/>
      <c r="P96" s="682"/>
    </row>
    <row r="97" customFormat="false" ht="16.5" hidden="false" customHeight="true" outlineLevel="0" collapsed="false">
      <c r="A97" s="682"/>
      <c r="B97" s="928"/>
      <c r="C97" s="928"/>
      <c r="D97" s="891"/>
      <c r="E97" s="783"/>
      <c r="P97" s="682"/>
    </row>
    <row r="98" customFormat="false" ht="15.75" hidden="false" customHeight="true" outlineLevel="0" collapsed="false">
      <c r="A98" s="668" t="s">
        <v>1065</v>
      </c>
      <c r="B98" s="669" t="s">
        <v>1066</v>
      </c>
      <c r="C98" s="668"/>
      <c r="D98" s="669"/>
      <c r="E98" s="668"/>
      <c r="F98" s="669"/>
      <c r="G98" s="668"/>
      <c r="H98" s="669"/>
      <c r="I98" s="668"/>
      <c r="J98" s="669"/>
      <c r="K98" s="667"/>
      <c r="L98" s="667"/>
      <c r="M98" s="667"/>
      <c r="N98" s="667"/>
    </row>
    <row r="99" customFormat="false" ht="18.75" hidden="false" customHeight="true" outlineLevel="0" collapsed="false">
      <c r="A99" s="682"/>
      <c r="B99" s="929" t="s">
        <v>1067</v>
      </c>
      <c r="C99" s="929"/>
      <c r="D99" s="929"/>
      <c r="E99" s="929"/>
      <c r="F99" s="929"/>
      <c r="G99" s="929"/>
      <c r="H99" s="929"/>
      <c r="I99" s="929"/>
      <c r="J99" s="929"/>
      <c r="K99" s="929"/>
      <c r="L99" s="929"/>
      <c r="M99" s="929"/>
      <c r="N99" s="929"/>
      <c r="O99" s="929"/>
      <c r="P99" s="929"/>
      <c r="Q99" s="929"/>
      <c r="R99" s="929"/>
      <c r="S99" s="930"/>
      <c r="T99" s="930"/>
    </row>
    <row r="100" customFormat="false" ht="18.75" hidden="false" customHeight="true" outlineLevel="0" collapsed="false">
      <c r="A100" s="682"/>
      <c r="B100" s="929" t="s">
        <v>1068</v>
      </c>
      <c r="C100" s="929"/>
      <c r="D100" s="929"/>
      <c r="E100" s="929"/>
      <c r="F100" s="929"/>
      <c r="G100" s="929"/>
      <c r="H100" s="929"/>
      <c r="I100" s="929"/>
      <c r="J100" s="929"/>
      <c r="K100" s="929"/>
      <c r="L100" s="929"/>
      <c r="M100" s="929"/>
      <c r="N100" s="929"/>
      <c r="O100" s="929"/>
      <c r="P100" s="929"/>
      <c r="Q100" s="929"/>
      <c r="R100" s="929"/>
      <c r="S100" s="930"/>
      <c r="T100" s="930"/>
    </row>
    <row r="101" customFormat="false" ht="18.75" hidden="false" customHeight="true" outlineLevel="0" collapsed="false">
      <c r="A101" s="682"/>
      <c r="B101" s="931"/>
      <c r="C101" s="931"/>
      <c r="D101" s="931"/>
      <c r="E101" s="931"/>
      <c r="F101" s="931"/>
      <c r="G101" s="931"/>
      <c r="H101" s="931"/>
      <c r="I101" s="931"/>
      <c r="J101" s="931"/>
      <c r="K101" s="931"/>
      <c r="L101" s="931"/>
      <c r="M101" s="931"/>
      <c r="N101" s="931"/>
      <c r="O101" s="931"/>
      <c r="P101" s="931"/>
      <c r="Q101" s="931"/>
      <c r="R101" s="931"/>
      <c r="S101" s="930"/>
      <c r="T101" s="930"/>
    </row>
    <row r="102" customFormat="false" ht="12.75" hidden="false" customHeight="true" outlineLevel="0" collapsed="false">
      <c r="B102" s="932" t="s">
        <v>1069</v>
      </c>
      <c r="C102" s="932"/>
      <c r="D102" s="932"/>
      <c r="E102" s="932"/>
      <c r="F102" s="932"/>
      <c r="G102" s="932"/>
      <c r="H102" s="932"/>
      <c r="I102" s="932"/>
      <c r="J102" s="932"/>
      <c r="K102" s="932"/>
      <c r="L102" s="932"/>
      <c r="M102" s="932"/>
      <c r="N102" s="932"/>
      <c r="O102" s="932"/>
      <c r="P102" s="932"/>
      <c r="Q102" s="932"/>
      <c r="R102" s="932"/>
    </row>
    <row r="103" customFormat="false" ht="12.75" hidden="false" customHeight="false" outlineLevel="0" collapsed="false">
      <c r="B103" s="932"/>
      <c r="C103" s="932"/>
      <c r="D103" s="932"/>
      <c r="E103" s="932"/>
      <c r="F103" s="932"/>
      <c r="G103" s="932"/>
      <c r="H103" s="932"/>
      <c r="I103" s="932"/>
      <c r="J103" s="932"/>
      <c r="K103" s="932"/>
      <c r="L103" s="932"/>
      <c r="M103" s="932"/>
      <c r="N103" s="932"/>
      <c r="O103" s="932"/>
      <c r="P103" s="932"/>
      <c r="Q103" s="932"/>
      <c r="R103" s="932"/>
    </row>
    <row r="104" customFormat="false" ht="12.75" hidden="false" customHeight="false" outlineLevel="0" collapsed="false">
      <c r="B104" s="932"/>
      <c r="C104" s="932"/>
      <c r="D104" s="932"/>
      <c r="E104" s="932"/>
      <c r="F104" s="932"/>
      <c r="G104" s="932"/>
      <c r="H104" s="932"/>
      <c r="I104" s="932"/>
      <c r="J104" s="932"/>
      <c r="K104" s="932"/>
      <c r="L104" s="932"/>
      <c r="M104" s="932"/>
      <c r="N104" s="932"/>
      <c r="O104" s="932"/>
      <c r="P104" s="932"/>
      <c r="Q104" s="932"/>
      <c r="R104" s="932"/>
    </row>
    <row r="106" s="933" customFormat="true" ht="15.75" hidden="false" customHeight="false" outlineLevel="0" collapsed="false">
      <c r="B106" s="934" t="s">
        <v>1070</v>
      </c>
      <c r="C106" s="934"/>
      <c r="D106" s="934"/>
      <c r="E106" s="934"/>
      <c r="F106" s="934"/>
      <c r="G106" s="934"/>
      <c r="H106" s="934"/>
      <c r="I106" s="934"/>
      <c r="J106" s="934"/>
      <c r="K106" s="934"/>
      <c r="L106" s="934"/>
      <c r="M106" s="934"/>
      <c r="N106" s="934"/>
      <c r="O106" s="934"/>
    </row>
  </sheetData>
  <sheetProtection sheet="true" formatCells="false" formatRows="false" insertColumns="false" insertRows="false" insertHyperlinks="false" deleteRows="false"/>
  <mergeCells count="84">
    <mergeCell ref="A1:R2"/>
    <mergeCell ref="A3:I3"/>
    <mergeCell ref="A4:R4"/>
    <mergeCell ref="A5:R5"/>
    <mergeCell ref="Q7:R7"/>
    <mergeCell ref="B8:I8"/>
    <mergeCell ref="J8:K8"/>
    <mergeCell ref="D11:K11"/>
    <mergeCell ref="Q11:R11"/>
    <mergeCell ref="D12:K12"/>
    <mergeCell ref="D14:K14"/>
    <mergeCell ref="D15:K15"/>
    <mergeCell ref="D20:H20"/>
    <mergeCell ref="B22:C22"/>
    <mergeCell ref="B23:R23"/>
    <mergeCell ref="B25:B27"/>
    <mergeCell ref="C25:R25"/>
    <mergeCell ref="C26:C27"/>
    <mergeCell ref="D26:D27"/>
    <mergeCell ref="E26:L26"/>
    <mergeCell ref="M26:Q26"/>
    <mergeCell ref="R26:R27"/>
    <mergeCell ref="C28:Q28"/>
    <mergeCell ref="C35:Q35"/>
    <mergeCell ref="B44:C44"/>
    <mergeCell ref="B46:R46"/>
    <mergeCell ref="B48:B50"/>
    <mergeCell ref="C48:R48"/>
    <mergeCell ref="C49:C50"/>
    <mergeCell ref="D49:D50"/>
    <mergeCell ref="E49:L49"/>
    <mergeCell ref="M49:Q49"/>
    <mergeCell ref="R49:R50"/>
    <mergeCell ref="C64:Q66"/>
    <mergeCell ref="B73:Q73"/>
    <mergeCell ref="B75:B77"/>
    <mergeCell ref="C75:C77"/>
    <mergeCell ref="D75:N75"/>
    <mergeCell ref="O75:O77"/>
    <mergeCell ref="P75:Q77"/>
    <mergeCell ref="D76:H76"/>
    <mergeCell ref="I76:I77"/>
    <mergeCell ref="J76:J77"/>
    <mergeCell ref="K76:K77"/>
    <mergeCell ref="L76:L77"/>
    <mergeCell ref="M76:M77"/>
    <mergeCell ref="N76:N77"/>
    <mergeCell ref="D78:D80"/>
    <mergeCell ref="E78:E80"/>
    <mergeCell ref="F78:F80"/>
    <mergeCell ref="G78:G80"/>
    <mergeCell ref="H78:H80"/>
    <mergeCell ref="I78:I80"/>
    <mergeCell ref="J78:J80"/>
    <mergeCell ref="K78:K80"/>
    <mergeCell ref="L78:L80"/>
    <mergeCell ref="N78:N80"/>
    <mergeCell ref="P78:Q78"/>
    <mergeCell ref="M79:M80"/>
    <mergeCell ref="P79:Q79"/>
    <mergeCell ref="P80:Q80"/>
    <mergeCell ref="P81:Q81"/>
    <mergeCell ref="P82:Q82"/>
    <mergeCell ref="B87:P87"/>
    <mergeCell ref="B89:B91"/>
    <mergeCell ref="C89:C91"/>
    <mergeCell ref="D89:M89"/>
    <mergeCell ref="N89:N91"/>
    <mergeCell ref="O89:P91"/>
    <mergeCell ref="D90:H90"/>
    <mergeCell ref="I90:I91"/>
    <mergeCell ref="J90:J91"/>
    <mergeCell ref="K90:K91"/>
    <mergeCell ref="L90:L91"/>
    <mergeCell ref="M90:M91"/>
    <mergeCell ref="O92:P92"/>
    <mergeCell ref="O93:P93"/>
    <mergeCell ref="O94:P94"/>
    <mergeCell ref="O95:P95"/>
    <mergeCell ref="B97:C97"/>
    <mergeCell ref="B99:R99"/>
    <mergeCell ref="B100:R100"/>
    <mergeCell ref="B102:R104"/>
    <mergeCell ref="B106:O106"/>
  </mergeCells>
  <hyperlinks>
    <hyperlink ref="Q7" r:id="rId1" display="Instrucciones"/>
    <hyperlink ref="Q11" r:id="rId2" display="Factores de emisión "/>
    <hyperlink ref="B99" location="'Baseline Emission Inventory (2)'!A1" display="Si se han elaborado otros inventarios, haga clic aquí para añadirlos."/>
    <hyperlink ref="B100" location="'Sustainable Energy Action Plan'!A1" display="De lo contrario, pase a la última parte de la plantilla del PAES -&gt; dedicada a su Plan de Acción para la Energía Sostenible"/>
    <hyperlink ref="B106" r:id="rId3" display="Más información: www.eumayors.eu."/>
  </hyperlinks>
  <printOptions headings="false" gridLines="false" gridLinesSet="true" horizontalCentered="true" verticalCentered="false"/>
  <pageMargins left="0.590277777777778" right="0.590277777777778" top="0.590277777777778" bottom="0.590277777777778" header="0.511805555555555" footer="0.511805555555555"/>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rowBreaks count="2" manualBreakCount="2">
    <brk id="16" man="true" max="16383" min="0"/>
    <brk id="70" man="true" max="16383" min="0"/>
  </rowBreaks>
  <drawing r:id="rId4"/>
</worksheet>
</file>

<file path=xl/worksheets/sheet29.xml><?xml version="1.0" encoding="utf-8"?>
<worksheet xmlns="http://schemas.openxmlformats.org/spreadsheetml/2006/main" xmlns:r="http://schemas.openxmlformats.org/officeDocument/2006/relationships">
  <sheetPr filterMode="false">
    <pageSetUpPr fitToPage="false"/>
  </sheetPr>
  <dimension ref="A1:T106"/>
  <sheetViews>
    <sheetView windowProtection="false" showFormulas="false" showGridLines="false" showRowColHeaders="true" showZeros="true" rightToLeft="false" tabSelected="true" showOutlineSymbols="true" defaultGridColor="true" view="normal" topLeftCell="A1" colorId="64" zoomScale="70" zoomScaleNormal="70" zoomScalePageLayoutView="50" workbookViewId="0">
      <selection pane="topLeft" activeCell="F30" activeCellId="0" sqref="F30"/>
    </sheetView>
  </sheetViews>
  <sheetFormatPr defaultRowHeight="12.75"/>
  <cols>
    <col collapsed="false" hidden="false" max="1" min="1" style="659" width="3.23979591836735"/>
    <col collapsed="false" hidden="false" max="2" min="2" style="659" width="55.4795918367347"/>
    <col collapsed="false" hidden="false" max="3" min="3" style="659" width="12.8265306122449"/>
    <col collapsed="false" hidden="false" max="4" min="4" style="659" width="12.5561224489796"/>
    <col collapsed="false" hidden="false" max="5" min="5" style="659" width="11.3418367346939"/>
    <col collapsed="false" hidden="false" max="6" min="6" style="659" width="10.9336734693878"/>
    <col collapsed="false" hidden="false" max="7" min="7" style="659" width="11.0714285714286"/>
    <col collapsed="false" hidden="false" max="8" min="8" style="659" width="9.98979591836735"/>
    <col collapsed="false" hidden="false" max="9" min="9" style="659" width="9.44897959183673"/>
    <col collapsed="false" hidden="false" max="10" min="10" style="659" width="10.530612244898"/>
    <col collapsed="false" hidden="false" max="11" min="11" style="659" width="8.36734693877551"/>
    <col collapsed="false" hidden="false" max="12" min="12" style="659" width="12.2857142857143"/>
    <col collapsed="false" hidden="false" max="14" min="13" style="659" width="11.0714285714286"/>
    <col collapsed="false" hidden="false" max="15" min="15" style="659" width="10.2602040816327"/>
    <col collapsed="false" hidden="false" max="16" min="16" style="659" width="11.2040816326531"/>
    <col collapsed="false" hidden="false" max="18" min="17" style="659" width="12.4183673469388"/>
    <col collapsed="false" hidden="false" max="1025" min="19" style="659" width="11.2040816326531"/>
  </cols>
  <sheetData>
    <row r="1" customFormat="false" ht="56.25" hidden="false" customHeight="true" outlineLevel="0" collapsed="false">
      <c r="A1" s="660" t="s">
        <v>981</v>
      </c>
      <c r="B1" s="660"/>
      <c r="C1" s="660"/>
      <c r="D1" s="660"/>
      <c r="E1" s="660"/>
      <c r="F1" s="660"/>
      <c r="G1" s="660"/>
      <c r="H1" s="660"/>
      <c r="I1" s="660"/>
      <c r="J1" s="660"/>
      <c r="K1" s="660"/>
      <c r="L1" s="660"/>
      <c r="M1" s="660"/>
      <c r="N1" s="660"/>
      <c r="O1" s="660"/>
      <c r="P1" s="660"/>
      <c r="Q1" s="660"/>
      <c r="R1" s="660"/>
    </row>
    <row r="2" customFormat="false" ht="11.25" hidden="false" customHeight="true" outlineLevel="0" collapsed="false">
      <c r="A2" s="660"/>
      <c r="B2" s="660"/>
      <c r="C2" s="660"/>
      <c r="D2" s="660"/>
      <c r="E2" s="660"/>
      <c r="F2" s="660"/>
      <c r="G2" s="660"/>
      <c r="H2" s="660"/>
      <c r="I2" s="660"/>
      <c r="J2" s="660"/>
      <c r="K2" s="660"/>
      <c r="L2" s="660"/>
      <c r="M2" s="660"/>
      <c r="N2" s="660"/>
      <c r="O2" s="660"/>
      <c r="P2" s="660"/>
      <c r="Q2" s="660"/>
      <c r="R2" s="660"/>
    </row>
    <row r="3" customFormat="false" ht="28.5" hidden="false" customHeight="true" outlineLevel="0" collapsed="false">
      <c r="A3" s="661"/>
      <c r="B3" s="661"/>
      <c r="C3" s="661"/>
      <c r="D3" s="661"/>
      <c r="E3" s="661"/>
      <c r="F3" s="661"/>
      <c r="G3" s="661"/>
      <c r="H3" s="661"/>
      <c r="I3" s="661"/>
      <c r="J3" s="662"/>
      <c r="K3" s="662"/>
    </row>
    <row r="4" customFormat="false" ht="24.95" hidden="false" customHeight="true" outlineLevel="0" collapsed="false">
      <c r="A4" s="663" t="s">
        <v>982</v>
      </c>
      <c r="B4" s="663"/>
      <c r="C4" s="663"/>
      <c r="D4" s="663"/>
      <c r="E4" s="663"/>
      <c r="F4" s="663"/>
      <c r="G4" s="663"/>
      <c r="H4" s="663"/>
      <c r="I4" s="663"/>
      <c r="J4" s="663"/>
      <c r="K4" s="663"/>
      <c r="L4" s="663"/>
      <c r="M4" s="663"/>
      <c r="N4" s="663"/>
      <c r="O4" s="663"/>
      <c r="P4" s="663"/>
      <c r="Q4" s="663"/>
      <c r="R4" s="663"/>
    </row>
    <row r="5" customFormat="false" ht="17.25" hidden="false" customHeight="true" outlineLevel="0" collapsed="false">
      <c r="A5" s="661"/>
      <c r="B5" s="661"/>
      <c r="C5" s="661"/>
      <c r="D5" s="661"/>
      <c r="E5" s="661"/>
      <c r="F5" s="661"/>
      <c r="G5" s="661"/>
      <c r="H5" s="661"/>
      <c r="I5" s="661"/>
      <c r="J5" s="661"/>
      <c r="K5" s="661"/>
      <c r="L5" s="661"/>
      <c r="M5" s="661"/>
      <c r="N5" s="661"/>
      <c r="O5" s="661"/>
      <c r="P5" s="661"/>
      <c r="Q5" s="661"/>
      <c r="R5" s="661"/>
    </row>
    <row r="6" customFormat="false" ht="13.5" hidden="false" customHeight="true" outlineLevel="0" collapsed="false">
      <c r="A6" s="664"/>
      <c r="B6" s="665"/>
      <c r="C6" s="666"/>
      <c r="D6" s="666"/>
      <c r="E6" s="666"/>
      <c r="F6" s="666"/>
      <c r="G6" s="666"/>
      <c r="H6" s="666"/>
      <c r="I6" s="666"/>
      <c r="J6" s="666"/>
      <c r="K6" s="667"/>
      <c r="L6" s="667"/>
      <c r="M6" s="667"/>
      <c r="N6" s="667"/>
    </row>
    <row r="7" customFormat="false" ht="18.75" hidden="false" customHeight="true" outlineLevel="0" collapsed="false">
      <c r="A7" s="668" t="s">
        <v>983</v>
      </c>
      <c r="B7" s="669" t="s">
        <v>984</v>
      </c>
      <c r="C7" s="670"/>
      <c r="D7" s="671" t="n">
        <v>2009</v>
      </c>
      <c r="E7" s="672"/>
      <c r="F7" s="672"/>
      <c r="G7" s="672"/>
      <c r="H7" s="672"/>
      <c r="I7" s="672"/>
      <c r="J7" s="672"/>
      <c r="K7" s="672"/>
      <c r="L7" s="670"/>
      <c r="Q7" s="673" t="s">
        <v>985</v>
      </c>
      <c r="R7" s="673"/>
    </row>
    <row r="8" customFormat="false" ht="20.25" hidden="false" customHeight="true" outlineLevel="0" collapsed="false">
      <c r="A8" s="674"/>
      <c r="B8" s="675" t="s">
        <v>986</v>
      </c>
      <c r="C8" s="675"/>
      <c r="D8" s="675"/>
      <c r="E8" s="675"/>
      <c r="F8" s="675"/>
      <c r="G8" s="675"/>
      <c r="H8" s="675"/>
      <c r="I8" s="675"/>
      <c r="J8" s="676" t="n">
        <f aca="false">'0.DADES'!H13</f>
        <v>12789</v>
      </c>
      <c r="K8" s="676"/>
    </row>
    <row r="9" customFormat="false" ht="18" hidden="false" customHeight="true" outlineLevel="0" collapsed="false">
      <c r="A9" s="677"/>
      <c r="B9" s="678"/>
      <c r="C9" s="670"/>
      <c r="D9" s="672"/>
      <c r="E9" s="672"/>
      <c r="F9" s="672"/>
      <c r="G9" s="672"/>
      <c r="J9" s="679"/>
      <c r="K9" s="679"/>
    </row>
    <row r="10" customFormat="false" ht="18" hidden="false" customHeight="true" outlineLevel="0" collapsed="false">
      <c r="A10" s="668" t="s">
        <v>987</v>
      </c>
      <c r="B10" s="669" t="s">
        <v>988</v>
      </c>
      <c r="C10" s="680"/>
      <c r="D10" s="681"/>
      <c r="E10" s="681"/>
      <c r="F10" s="681"/>
      <c r="G10" s="681"/>
      <c r="H10" s="682"/>
      <c r="I10" s="682"/>
      <c r="J10" s="683"/>
      <c r="K10" s="683"/>
    </row>
    <row r="11" customFormat="false" ht="18" hidden="false" customHeight="true" outlineLevel="0" collapsed="false">
      <c r="A11" s="677"/>
      <c r="B11" s="684" t="s">
        <v>989</v>
      </c>
      <c r="C11" s="685"/>
      <c r="D11" s="686" t="s">
        <v>990</v>
      </c>
      <c r="E11" s="686"/>
      <c r="F11" s="686"/>
      <c r="G11" s="686"/>
      <c r="H11" s="686"/>
      <c r="I11" s="686"/>
      <c r="J11" s="686"/>
      <c r="K11" s="686"/>
      <c r="L11" s="687"/>
      <c r="M11" s="687"/>
      <c r="N11" s="687"/>
      <c r="O11" s="688"/>
      <c r="P11" s="687"/>
      <c r="Q11" s="673" t="s">
        <v>991</v>
      </c>
      <c r="R11" s="673"/>
    </row>
    <row r="12" customFormat="false" ht="18" hidden="false" customHeight="true" outlineLevel="0" collapsed="false">
      <c r="A12" s="677"/>
      <c r="B12" s="689"/>
      <c r="C12" s="685"/>
      <c r="D12" s="686" t="s">
        <v>992</v>
      </c>
      <c r="E12" s="686"/>
      <c r="F12" s="686"/>
      <c r="G12" s="686"/>
      <c r="H12" s="686"/>
      <c r="I12" s="686"/>
      <c r="J12" s="686"/>
      <c r="K12" s="686"/>
      <c r="L12" s="690"/>
      <c r="M12" s="690"/>
      <c r="N12" s="690"/>
      <c r="O12" s="690"/>
      <c r="P12" s="690"/>
      <c r="Q12" s="690"/>
      <c r="R12" s="690"/>
    </row>
    <row r="13" customFormat="false" ht="18" hidden="false" customHeight="true" outlineLevel="0" collapsed="false">
      <c r="A13" s="677"/>
      <c r="B13" s="691" t="s">
        <v>993</v>
      </c>
      <c r="C13" s="672"/>
      <c r="D13" s="692"/>
      <c r="E13" s="692"/>
      <c r="F13" s="692"/>
      <c r="G13" s="692"/>
      <c r="H13" s="692"/>
      <c r="I13" s="692"/>
      <c r="J13" s="692"/>
      <c r="K13" s="692"/>
      <c r="L13" s="690"/>
      <c r="M13" s="690"/>
      <c r="N13" s="690"/>
      <c r="O13" s="690"/>
      <c r="P13" s="690"/>
      <c r="Q13" s="690"/>
      <c r="R13" s="690"/>
    </row>
    <row r="14" customFormat="false" ht="18" hidden="false" customHeight="true" outlineLevel="0" collapsed="false">
      <c r="A14" s="693"/>
      <c r="B14" s="684" t="s">
        <v>989</v>
      </c>
      <c r="C14" s="694"/>
      <c r="D14" s="686" t="s">
        <v>994</v>
      </c>
      <c r="E14" s="686"/>
      <c r="F14" s="686"/>
      <c r="G14" s="686"/>
      <c r="H14" s="686"/>
      <c r="I14" s="686"/>
      <c r="J14" s="686"/>
      <c r="K14" s="686"/>
      <c r="L14" s="695"/>
      <c r="M14" s="695"/>
      <c r="N14" s="695"/>
      <c r="O14" s="695"/>
      <c r="P14" s="695"/>
      <c r="Q14" s="695"/>
      <c r="R14" s="695"/>
    </row>
    <row r="15" customFormat="false" ht="18" hidden="false" customHeight="true" outlineLevel="0" collapsed="false">
      <c r="A15" s="693"/>
      <c r="B15" s="696"/>
      <c r="C15" s="694"/>
      <c r="D15" s="686" t="s">
        <v>995</v>
      </c>
      <c r="E15" s="686"/>
      <c r="F15" s="686"/>
      <c r="G15" s="686"/>
      <c r="H15" s="686"/>
      <c r="I15" s="686"/>
      <c r="J15" s="686"/>
      <c r="K15" s="686"/>
      <c r="L15" s="695"/>
      <c r="M15" s="695"/>
      <c r="N15" s="695"/>
      <c r="O15" s="695"/>
      <c r="P15" s="695"/>
      <c r="Q15" s="695"/>
      <c r="R15" s="695"/>
    </row>
    <row r="16" customFormat="false" ht="10.5" hidden="false" customHeight="true" outlineLevel="0" collapsed="false">
      <c r="A16" s="674"/>
      <c r="B16" s="697"/>
      <c r="C16" s="672"/>
      <c r="D16" s="698"/>
      <c r="E16" s="698"/>
      <c r="F16" s="698"/>
      <c r="G16" s="699"/>
      <c r="H16" s="700"/>
    </row>
    <row r="17" customFormat="false" ht="13.5" hidden="false" customHeight="true" outlineLevel="0" collapsed="false">
      <c r="A17" s="668" t="s">
        <v>996</v>
      </c>
      <c r="B17" s="669" t="s">
        <v>997</v>
      </c>
      <c r="C17" s="668"/>
      <c r="D17" s="669"/>
      <c r="E17" s="668"/>
      <c r="F17" s="669"/>
      <c r="G17" s="668"/>
      <c r="H17" s="669"/>
      <c r="I17" s="668"/>
      <c r="J17" s="669"/>
      <c r="K17" s="667"/>
      <c r="L17" s="667"/>
      <c r="M17" s="667"/>
      <c r="N17" s="667"/>
    </row>
    <row r="18" customFormat="false" ht="13.5" hidden="false" customHeight="true" outlineLevel="0" collapsed="false">
      <c r="A18" s="701"/>
      <c r="B18" s="702"/>
      <c r="C18" s="667"/>
      <c r="D18" s="667"/>
      <c r="E18" s="667"/>
      <c r="F18" s="667"/>
      <c r="G18" s="667"/>
      <c r="H18" s="667"/>
      <c r="I18" s="667"/>
      <c r="J18" s="667"/>
      <c r="K18" s="667"/>
      <c r="L18" s="667"/>
      <c r="M18" s="667"/>
      <c r="N18" s="667"/>
    </row>
    <row r="19" customFormat="false" ht="13.5" hidden="false" customHeight="true" outlineLevel="0" collapsed="false">
      <c r="A19" s="701"/>
      <c r="B19" s="702" t="s">
        <v>998</v>
      </c>
      <c r="C19" s="667"/>
      <c r="D19" s="667"/>
      <c r="E19" s="667"/>
      <c r="F19" s="667"/>
      <c r="G19" s="667"/>
      <c r="H19" s="667"/>
      <c r="I19" s="667"/>
      <c r="J19" s="667"/>
      <c r="K19" s="667"/>
      <c r="L19" s="667"/>
      <c r="M19" s="667"/>
      <c r="N19" s="667"/>
    </row>
    <row r="20" customFormat="false" ht="16.5" hidden="false" customHeight="true" outlineLevel="0" collapsed="false">
      <c r="A20" s="682"/>
      <c r="B20" s="703" t="s">
        <v>999</v>
      </c>
      <c r="C20" s="704"/>
      <c r="D20" s="705" t="s">
        <v>1000</v>
      </c>
      <c r="E20" s="705"/>
      <c r="F20" s="705"/>
      <c r="G20" s="705"/>
      <c r="H20" s="705"/>
      <c r="J20" s="679"/>
      <c r="K20" s="679"/>
    </row>
    <row r="21" customFormat="false" ht="12" hidden="false" customHeight="true" outlineLevel="0" collapsed="false">
      <c r="A21" s="682"/>
      <c r="B21" s="702"/>
      <c r="C21" s="670"/>
      <c r="D21" s="706"/>
      <c r="E21" s="706"/>
      <c r="F21" s="706"/>
      <c r="G21" s="706"/>
      <c r="J21" s="679"/>
      <c r="K21" s="679"/>
    </row>
    <row r="22" customFormat="false" ht="15.75" hidden="false" customHeight="true" outlineLevel="0" collapsed="false">
      <c r="A22" s="682"/>
      <c r="B22" s="707" t="s">
        <v>1001</v>
      </c>
      <c r="C22" s="707"/>
      <c r="D22" s="706"/>
      <c r="E22" s="706"/>
      <c r="F22" s="706"/>
      <c r="G22" s="706"/>
      <c r="J22" s="679"/>
      <c r="K22" s="679"/>
    </row>
    <row r="23" customFormat="false" ht="15" hidden="false" customHeight="true" outlineLevel="0" collapsed="false">
      <c r="A23" s="682"/>
      <c r="B23" s="708" t="s">
        <v>1002</v>
      </c>
      <c r="C23" s="708"/>
      <c r="D23" s="708"/>
      <c r="E23" s="708"/>
      <c r="F23" s="708"/>
      <c r="G23" s="708"/>
      <c r="H23" s="708"/>
      <c r="I23" s="708"/>
      <c r="J23" s="708"/>
      <c r="K23" s="708"/>
      <c r="L23" s="708"/>
      <c r="M23" s="708"/>
      <c r="N23" s="708"/>
      <c r="O23" s="708"/>
      <c r="P23" s="708"/>
      <c r="Q23" s="708"/>
      <c r="R23" s="708"/>
    </row>
    <row r="24" customFormat="false" ht="9.75" hidden="false" customHeight="true" outlineLevel="0" collapsed="false">
      <c r="A24" s="682"/>
      <c r="B24" s="709"/>
      <c r="C24" s="709"/>
      <c r="D24" s="709"/>
      <c r="E24" s="709"/>
      <c r="F24" s="709"/>
      <c r="G24" s="709"/>
      <c r="H24" s="709"/>
      <c r="I24" s="709"/>
      <c r="J24" s="709"/>
      <c r="K24" s="709"/>
      <c r="L24" s="709"/>
      <c r="M24" s="709"/>
      <c r="N24" s="709"/>
      <c r="O24" s="709"/>
      <c r="P24" s="709"/>
      <c r="Q24" s="709"/>
      <c r="R24" s="709"/>
    </row>
    <row r="25" s="713" customFormat="true" ht="17.25" hidden="false" customHeight="true" outlineLevel="0" collapsed="false">
      <c r="A25" s="710"/>
      <c r="B25" s="711" t="s">
        <v>1003</v>
      </c>
      <c r="C25" s="712" t="s">
        <v>1004</v>
      </c>
      <c r="D25" s="712"/>
      <c r="E25" s="712"/>
      <c r="F25" s="712"/>
      <c r="G25" s="712"/>
      <c r="H25" s="712"/>
      <c r="I25" s="712"/>
      <c r="J25" s="712"/>
      <c r="K25" s="712"/>
      <c r="L25" s="712"/>
      <c r="M25" s="712"/>
      <c r="N25" s="712"/>
      <c r="O25" s="712"/>
      <c r="P25" s="712"/>
      <c r="Q25" s="712"/>
      <c r="R25" s="712"/>
    </row>
    <row r="26" customFormat="false" ht="13.5" hidden="false" customHeight="true" outlineLevel="0" collapsed="false">
      <c r="A26" s="682"/>
      <c r="B26" s="711"/>
      <c r="C26" s="714" t="s">
        <v>1005</v>
      </c>
      <c r="D26" s="715" t="s">
        <v>1006</v>
      </c>
      <c r="E26" s="716" t="s">
        <v>1007</v>
      </c>
      <c r="F26" s="716"/>
      <c r="G26" s="716"/>
      <c r="H26" s="716"/>
      <c r="I26" s="716"/>
      <c r="J26" s="716"/>
      <c r="K26" s="716"/>
      <c r="L26" s="716"/>
      <c r="M26" s="717" t="s">
        <v>1008</v>
      </c>
      <c r="N26" s="717"/>
      <c r="O26" s="717"/>
      <c r="P26" s="717"/>
      <c r="Q26" s="717"/>
      <c r="R26" s="718" t="s">
        <v>272</v>
      </c>
    </row>
    <row r="27" customFormat="false" ht="52.5" hidden="false" customHeight="true" outlineLevel="0" collapsed="false">
      <c r="A27" s="682"/>
      <c r="B27" s="711"/>
      <c r="C27" s="714"/>
      <c r="D27" s="715"/>
      <c r="E27" s="719" t="s">
        <v>116</v>
      </c>
      <c r="F27" s="719" t="s">
        <v>1009</v>
      </c>
      <c r="G27" s="720" t="s">
        <v>1010</v>
      </c>
      <c r="H27" s="719" t="s">
        <v>1011</v>
      </c>
      <c r="I27" s="719" t="s">
        <v>118</v>
      </c>
      <c r="J27" s="719" t="s">
        <v>1012</v>
      </c>
      <c r="K27" s="715" t="s">
        <v>1013</v>
      </c>
      <c r="L27" s="715" t="s">
        <v>1014</v>
      </c>
      <c r="M27" s="720" t="s">
        <v>1015</v>
      </c>
      <c r="N27" s="721" t="s">
        <v>1016</v>
      </c>
      <c r="O27" s="721" t="s">
        <v>1017</v>
      </c>
      <c r="P27" s="721" t="s">
        <v>1018</v>
      </c>
      <c r="Q27" s="722" t="s">
        <v>1019</v>
      </c>
      <c r="R27" s="718"/>
    </row>
    <row r="28" customFormat="false" ht="15" hidden="false" customHeight="true" outlineLevel="0" collapsed="false">
      <c r="A28" s="723"/>
      <c r="B28" s="724" t="s">
        <v>1020</v>
      </c>
      <c r="C28" s="725" t="s">
        <v>1021</v>
      </c>
      <c r="D28" s="725"/>
      <c r="E28" s="725"/>
      <c r="F28" s="725"/>
      <c r="G28" s="725"/>
      <c r="H28" s="725"/>
      <c r="I28" s="725"/>
      <c r="J28" s="725"/>
      <c r="K28" s="725"/>
      <c r="L28" s="725"/>
      <c r="M28" s="725"/>
      <c r="N28" s="725"/>
      <c r="O28" s="725"/>
      <c r="P28" s="725"/>
      <c r="Q28" s="725"/>
      <c r="R28" s="726"/>
    </row>
    <row r="29" customFormat="false" ht="13.5" hidden="false" customHeight="true" outlineLevel="0" collapsed="false">
      <c r="A29" s="723"/>
      <c r="B29" s="727" t="s">
        <v>1022</v>
      </c>
      <c r="C29" s="728" t="n">
        <f aca="false">+'T.AJUNTAMENT'!F157</f>
        <v>1419.496</v>
      </c>
      <c r="D29" s="729"/>
      <c r="E29" s="729"/>
      <c r="F29" s="728" t="n">
        <f aca="false">+'T.AJUNTAMENT'!F159</f>
        <v>172.469534883721</v>
      </c>
      <c r="G29" s="728" t="n">
        <f aca="false">+'T.AJUNTAMENT'!F160</f>
        <v>688.6972</v>
      </c>
      <c r="H29" s="729"/>
      <c r="I29" s="729"/>
      <c r="J29" s="729"/>
      <c r="K29" s="729"/>
      <c r="L29" s="729"/>
      <c r="M29" s="729"/>
      <c r="N29" s="729"/>
      <c r="O29" s="729"/>
      <c r="P29" s="729"/>
      <c r="Q29" s="730"/>
      <c r="R29" s="731" t="n">
        <f aca="false">SUM(C29:Q29)</f>
        <v>2280.66273488372</v>
      </c>
    </row>
    <row r="30" customFormat="false" ht="17.25" hidden="false" customHeight="true" outlineLevel="0" collapsed="false">
      <c r="A30" s="723"/>
      <c r="B30" s="732" t="s">
        <v>1023</v>
      </c>
      <c r="C30" s="728" t="n">
        <f aca="false">+'T. PAES'!F96-C29-C32</f>
        <v>21210.5950815052</v>
      </c>
      <c r="D30" s="729"/>
      <c r="E30" s="729"/>
      <c r="F30" s="728" t="n">
        <f aca="false">+'T. PAES'!F98-F29</f>
        <v>2900.30987854259</v>
      </c>
      <c r="G30" s="728" t="n">
        <f aca="false">+'T. PAES'!F99-G29</f>
        <v>26903.8734884618</v>
      </c>
      <c r="H30" s="729"/>
      <c r="I30" s="729"/>
      <c r="J30" s="729"/>
      <c r="K30" s="729"/>
      <c r="L30" s="728"/>
      <c r="M30" s="729"/>
      <c r="N30" s="729"/>
      <c r="O30" s="729"/>
      <c r="P30" s="729"/>
      <c r="Q30" s="730"/>
      <c r="R30" s="733" t="n">
        <f aca="false">SUM(C30:Q30)</f>
        <v>51014.7784485096</v>
      </c>
    </row>
    <row r="31" customFormat="false" ht="17.25" hidden="false" customHeight="true" outlineLevel="0" collapsed="false">
      <c r="A31" s="723"/>
      <c r="B31" s="727" t="s">
        <v>1024</v>
      </c>
      <c r="C31" s="728" t="n">
        <f aca="false">+'T. PAES'!F124</f>
        <v>46024.755</v>
      </c>
      <c r="D31" s="729"/>
      <c r="E31" s="729"/>
      <c r="F31" s="728" t="n">
        <f aca="false">+'T. PAES'!F126</f>
        <v>5288.33776738717</v>
      </c>
      <c r="G31" s="728" t="n">
        <f aca="false">+'T. PAES'!F127</f>
        <v>22794.3012834114</v>
      </c>
      <c r="H31" s="729"/>
      <c r="I31" s="729"/>
      <c r="J31" s="729"/>
      <c r="K31" s="729"/>
      <c r="L31" s="729"/>
      <c r="M31" s="729"/>
      <c r="N31" s="729"/>
      <c r="O31" s="729"/>
      <c r="P31" s="729"/>
      <c r="Q31" s="730"/>
      <c r="R31" s="733" t="n">
        <f aca="false">SUM(C31:Q31)</f>
        <v>74107.3940507986</v>
      </c>
    </row>
    <row r="32" customFormat="false" ht="17.25" hidden="false" customHeight="true" outlineLevel="0" collapsed="false">
      <c r="A32" s="723"/>
      <c r="B32" s="727" t="s">
        <v>1025</v>
      </c>
      <c r="C32" s="728" t="n">
        <f aca="false">+'T.AJUNTAMENT'!F57</f>
        <v>963.455</v>
      </c>
      <c r="D32" s="729"/>
      <c r="E32" s="729"/>
      <c r="F32" s="728"/>
      <c r="G32" s="728"/>
      <c r="H32" s="729"/>
      <c r="I32" s="729"/>
      <c r="J32" s="729"/>
      <c r="K32" s="729"/>
      <c r="L32" s="729"/>
      <c r="M32" s="729"/>
      <c r="N32" s="729"/>
      <c r="O32" s="729"/>
      <c r="P32" s="729"/>
      <c r="Q32" s="730"/>
      <c r="R32" s="733" t="n">
        <f aca="false">SUM(C32:Q32)</f>
        <v>963.455</v>
      </c>
    </row>
    <row r="33" customFormat="false" ht="33" hidden="false" customHeight="true" outlineLevel="0" collapsed="false">
      <c r="A33" s="682"/>
      <c r="B33" s="734" t="s">
        <v>1026</v>
      </c>
      <c r="C33" s="735"/>
      <c r="D33" s="729"/>
      <c r="E33" s="729"/>
      <c r="F33" s="728"/>
      <c r="G33" s="728"/>
      <c r="H33" s="737"/>
      <c r="I33" s="729"/>
      <c r="J33" s="935"/>
      <c r="K33" s="729"/>
      <c r="L33" s="729"/>
      <c r="M33" s="737"/>
      <c r="N33" s="738"/>
      <c r="O33" s="736"/>
      <c r="P33" s="729"/>
      <c r="Q33" s="740"/>
      <c r="R33" s="733" t="n">
        <f aca="false">+'T. PAES'!F56</f>
        <v>7323.80208</v>
      </c>
    </row>
    <row r="34" customFormat="false" ht="13.5" hidden="false" customHeight="true" outlineLevel="0" collapsed="false">
      <c r="A34" s="682"/>
      <c r="B34" s="741" t="s">
        <v>1027</v>
      </c>
      <c r="C34" s="742" t="n">
        <f aca="false">SUM(C29:C33)</f>
        <v>69618.3010815052</v>
      </c>
      <c r="D34" s="744" t="n">
        <f aca="false">SUM(D29:D33)</f>
        <v>0</v>
      </c>
      <c r="E34" s="744" t="n">
        <f aca="false">SUM(E29:E33)</f>
        <v>0</v>
      </c>
      <c r="F34" s="746" t="n">
        <f aca="false">SUM(F29:F33)</f>
        <v>8361.11718081349</v>
      </c>
      <c r="G34" s="936" t="n">
        <f aca="false">SUM(G29:G33)</f>
        <v>50386.8719718732</v>
      </c>
      <c r="H34" s="744" t="n">
        <f aca="false">SUM(H29:H33)</f>
        <v>0</v>
      </c>
      <c r="I34" s="744" t="n">
        <f aca="false">SUM(I29:I33)</f>
        <v>0</v>
      </c>
      <c r="J34" s="748" t="n">
        <f aca="false">SUM(J29:J33)</f>
        <v>0</v>
      </c>
      <c r="K34" s="747" t="n">
        <f aca="false">SUM(K29:K33)</f>
        <v>0</v>
      </c>
      <c r="L34" s="937" t="n">
        <f aca="false">SUM(L29:L33)</f>
        <v>0</v>
      </c>
      <c r="M34" s="747" t="n">
        <f aca="false">SUM(M29:M33)</f>
        <v>0</v>
      </c>
      <c r="N34" s="748" t="n">
        <f aca="false">SUM(N29:N33)</f>
        <v>0</v>
      </c>
      <c r="O34" s="747" t="n">
        <f aca="false">SUM(O29:O33)</f>
        <v>0</v>
      </c>
      <c r="P34" s="748" t="n">
        <f aca="false">SUM(P29:P33)</f>
        <v>0</v>
      </c>
      <c r="Q34" s="749" t="n">
        <f aca="false">SUM(Q29:Q33)</f>
        <v>0</v>
      </c>
      <c r="R34" s="809" t="n">
        <f aca="false">SUM(R29:R33)</f>
        <v>135690.092314192</v>
      </c>
    </row>
    <row r="35" customFormat="false" ht="15" hidden="false" customHeight="true" outlineLevel="0" collapsed="false">
      <c r="A35" s="723"/>
      <c r="B35" s="752" t="s">
        <v>1028</v>
      </c>
      <c r="C35" s="753"/>
      <c r="D35" s="753"/>
      <c r="E35" s="753"/>
      <c r="F35" s="753"/>
      <c r="G35" s="753"/>
      <c r="H35" s="753"/>
      <c r="I35" s="753"/>
      <c r="J35" s="753"/>
      <c r="K35" s="753"/>
      <c r="L35" s="753"/>
      <c r="M35" s="753"/>
      <c r="N35" s="753"/>
      <c r="O35" s="753"/>
      <c r="P35" s="753"/>
      <c r="Q35" s="753"/>
      <c r="R35" s="754"/>
    </row>
    <row r="36" customFormat="false" ht="13.5" hidden="false" customHeight="true" outlineLevel="0" collapsed="false">
      <c r="A36" s="723"/>
      <c r="B36" s="755" t="s">
        <v>1029</v>
      </c>
      <c r="C36" s="737"/>
      <c r="D36" s="729"/>
      <c r="E36" s="729" t="n">
        <v>0</v>
      </c>
      <c r="F36" s="729"/>
      <c r="G36" s="729"/>
      <c r="H36" s="756" t="n">
        <f aca="false">'10. VEHICLES PROPIS'!H73/1000+'11. VEHICLES EXT.'!H72/1000</f>
        <v>1334.46396885</v>
      </c>
      <c r="I36" s="756" t="n">
        <f aca="false">'10. VEHICLES PROPIS'!H109/1000+'11. VEHICLES EXT.'!H110/1000</f>
        <v>347.02083</v>
      </c>
      <c r="J36" s="729"/>
      <c r="K36" s="729"/>
      <c r="L36" s="729"/>
      <c r="M36" s="729"/>
      <c r="N36" s="729"/>
      <c r="O36" s="729"/>
      <c r="P36" s="729"/>
      <c r="Q36" s="730"/>
      <c r="R36" s="733" t="n">
        <f aca="false">SUM(C36:Q36)</f>
        <v>1681.48479885</v>
      </c>
    </row>
    <row r="37" customFormat="false" ht="14.25" hidden="false" customHeight="true" outlineLevel="0" collapsed="false">
      <c r="A37" s="723"/>
      <c r="B37" s="755" t="s">
        <v>1030</v>
      </c>
      <c r="C37" s="737"/>
      <c r="D37" s="729"/>
      <c r="E37" s="729" t="n">
        <v>0</v>
      </c>
      <c r="F37" s="729"/>
      <c r="G37" s="729"/>
      <c r="H37" s="756" t="n">
        <v>0</v>
      </c>
      <c r="I37" s="729"/>
      <c r="J37" s="729"/>
      <c r="K37" s="729"/>
      <c r="L37" s="729"/>
      <c r="M37" s="729"/>
      <c r="N37" s="729"/>
      <c r="O37" s="729"/>
      <c r="P37" s="729"/>
      <c r="Q37" s="730"/>
      <c r="R37" s="733" t="n">
        <f aca="false">SUM(C37:Q37)</f>
        <v>0</v>
      </c>
    </row>
    <row r="38" customFormat="false" ht="15.75" hidden="false" customHeight="true" outlineLevel="0" collapsed="false">
      <c r="A38" s="723"/>
      <c r="B38" s="755" t="s">
        <v>1031</v>
      </c>
      <c r="C38" s="737"/>
      <c r="D38" s="729"/>
      <c r="E38" s="729" t="n">
        <v>0</v>
      </c>
      <c r="F38" s="729"/>
      <c r="G38" s="729"/>
      <c r="H38" s="757" t="n">
        <f aca="false">+'T. PAES'!F182-H36</f>
        <v>55995.680358066</v>
      </c>
      <c r="I38" s="757" t="n">
        <f aca="false">+'T. PAES'!F181</f>
        <v>31985.7961396805</v>
      </c>
      <c r="J38" s="729"/>
      <c r="K38" s="729"/>
      <c r="L38" s="729"/>
      <c r="M38" s="729"/>
      <c r="N38" s="729"/>
      <c r="O38" s="729"/>
      <c r="P38" s="729"/>
      <c r="Q38" s="730"/>
      <c r="R38" s="733" t="n">
        <f aca="false">SUM(C38:Q38)</f>
        <v>87981.4764977466</v>
      </c>
    </row>
    <row r="39" customFormat="false" ht="15.75" hidden="false" customHeight="false" outlineLevel="0" collapsed="false">
      <c r="A39" s="682"/>
      <c r="B39" s="759" t="s">
        <v>1032</v>
      </c>
      <c r="C39" s="938" t="n">
        <f aca="false">SUM(C36:C38)</f>
        <v>0</v>
      </c>
      <c r="D39" s="761" t="n">
        <f aca="false">SUM(D36:D38)</f>
        <v>0</v>
      </c>
      <c r="E39" s="748" t="n">
        <f aca="false">SUM(E36:E38)</f>
        <v>0</v>
      </c>
      <c r="F39" s="748" t="n">
        <f aca="false">SUM(F36:F38)</f>
        <v>0</v>
      </c>
      <c r="G39" s="748" t="n">
        <f aca="false">SUM(G36:G38)</f>
        <v>0</v>
      </c>
      <c r="H39" s="939" t="n">
        <f aca="false">+H36+H37+H38</f>
        <v>57330.144326916</v>
      </c>
      <c r="I39" s="940" t="n">
        <f aca="false">SUM(I36:I38)</f>
        <v>32332.8169696805</v>
      </c>
      <c r="J39" s="761" t="n">
        <f aca="false">SUM(J36:J38)</f>
        <v>0</v>
      </c>
      <c r="K39" s="748" t="n">
        <f aca="false">SUM(K36:K38)</f>
        <v>0</v>
      </c>
      <c r="L39" s="761" t="n">
        <f aca="false">SUM(L36:L38)</f>
        <v>0</v>
      </c>
      <c r="M39" s="761" t="n">
        <f aca="false">SUM(M36:M38)</f>
        <v>0</v>
      </c>
      <c r="N39" s="748" t="n">
        <f aca="false">SUM(N36:N38)</f>
        <v>0</v>
      </c>
      <c r="O39" s="748" t="n">
        <f aca="false">SUM(O36:O38)</f>
        <v>0</v>
      </c>
      <c r="P39" s="748" t="n">
        <f aca="false">SUM(P36:P38)</f>
        <v>0</v>
      </c>
      <c r="Q39" s="941" t="n">
        <f aca="false">SUM(Q36:Q38)</f>
        <v>0</v>
      </c>
      <c r="R39" s="765" t="n">
        <f aca="false">SUM(R36:R38)</f>
        <v>89662.9612965966</v>
      </c>
    </row>
    <row r="40" customFormat="false" ht="17.25" hidden="false" customHeight="false" outlineLevel="0" collapsed="false">
      <c r="A40" s="682"/>
      <c r="B40" s="766" t="s">
        <v>272</v>
      </c>
      <c r="C40" s="767" t="n">
        <f aca="false">C39+C34</f>
        <v>69618.3010815052</v>
      </c>
      <c r="D40" s="769" t="n">
        <f aca="false">D39+D34</f>
        <v>0</v>
      </c>
      <c r="E40" s="769" t="n">
        <f aca="false">E39+E34</f>
        <v>0</v>
      </c>
      <c r="F40" s="770" t="n">
        <f aca="false">F39+F34</f>
        <v>8361.11718081349</v>
      </c>
      <c r="G40" s="770" t="n">
        <f aca="false">G39+G34</f>
        <v>50386.8719718732</v>
      </c>
      <c r="H40" s="770" t="n">
        <f aca="false">H39+H34</f>
        <v>57330.144326916</v>
      </c>
      <c r="I40" s="942" t="n">
        <f aca="false">I39+I34</f>
        <v>32332.8169696805</v>
      </c>
      <c r="J40" s="769" t="n">
        <f aca="false">J39+J34</f>
        <v>0</v>
      </c>
      <c r="K40" s="769" t="n">
        <f aca="false">K39+K34</f>
        <v>0</v>
      </c>
      <c r="L40" s="769" t="n">
        <f aca="false">L39+L34</f>
        <v>0</v>
      </c>
      <c r="M40" s="768" t="n">
        <f aca="false">M39+M34</f>
        <v>0</v>
      </c>
      <c r="N40" s="769" t="n">
        <f aca="false">N39+N34</f>
        <v>0</v>
      </c>
      <c r="O40" s="769" t="n">
        <f aca="false">O39+O34</f>
        <v>0</v>
      </c>
      <c r="P40" s="769" t="n">
        <f aca="false">P39+P34</f>
        <v>0</v>
      </c>
      <c r="Q40" s="943" t="n">
        <f aca="false">Q39+Q34</f>
        <v>0</v>
      </c>
      <c r="R40" s="775" t="n">
        <f aca="false">R39+R34</f>
        <v>225353.053610788</v>
      </c>
    </row>
    <row r="41" s="682" customFormat="true" ht="9" hidden="false" customHeight="true" outlineLevel="0" collapsed="false">
      <c r="B41" s="776"/>
      <c r="C41" s="777"/>
      <c r="D41" s="777"/>
      <c r="E41" s="777"/>
      <c r="F41" s="777"/>
      <c r="G41" s="777"/>
      <c r="H41" s="777"/>
      <c r="I41" s="777"/>
      <c r="J41" s="777"/>
      <c r="K41" s="777"/>
      <c r="L41" s="777"/>
      <c r="M41" s="777"/>
      <c r="N41" s="777"/>
      <c r="O41" s="777"/>
      <c r="P41" s="777"/>
      <c r="Q41" s="777"/>
      <c r="R41" s="777"/>
    </row>
    <row r="42" customFormat="false" ht="31.5" hidden="false" customHeight="false" outlineLevel="0" collapsed="false">
      <c r="A42" s="682"/>
      <c r="B42" s="778" t="s">
        <v>1033</v>
      </c>
      <c r="C42" s="779"/>
      <c r="D42" s="680"/>
      <c r="E42" s="680"/>
      <c r="F42" s="680"/>
      <c r="G42" s="680"/>
      <c r="H42" s="680"/>
      <c r="I42" s="680"/>
      <c r="J42" s="680"/>
      <c r="K42" s="680"/>
      <c r="L42" s="680"/>
      <c r="M42" s="680"/>
      <c r="N42" s="680"/>
      <c r="O42" s="680"/>
      <c r="P42" s="680"/>
      <c r="Q42" s="680"/>
      <c r="R42" s="680"/>
    </row>
    <row r="43" customFormat="false" ht="30" hidden="false" customHeight="true" outlineLevel="0" collapsed="false">
      <c r="A43" s="701"/>
      <c r="B43" s="780" t="s">
        <v>1034</v>
      </c>
      <c r="C43" s="779"/>
      <c r="D43" s="781"/>
      <c r="E43" s="781"/>
      <c r="F43" s="781"/>
      <c r="G43" s="781"/>
      <c r="H43" s="782"/>
    </row>
    <row r="44" customFormat="false" ht="15.75" hidden="false" customHeight="true" outlineLevel="0" collapsed="false">
      <c r="A44" s="701"/>
      <c r="B44" s="783"/>
      <c r="C44" s="783"/>
      <c r="D44" s="783"/>
    </row>
    <row r="45" customFormat="false" ht="15.75" hidden="false" customHeight="true" outlineLevel="0" collapsed="false">
      <c r="A45" s="701"/>
      <c r="B45" s="784" t="s">
        <v>1035</v>
      </c>
      <c r="C45" s="783"/>
      <c r="D45" s="783"/>
    </row>
    <row r="46" customFormat="false" ht="15" hidden="false" customHeight="true" outlineLevel="0" collapsed="false">
      <c r="A46" s="682"/>
      <c r="B46" s="708" t="s">
        <v>1002</v>
      </c>
      <c r="C46" s="708"/>
      <c r="D46" s="708"/>
      <c r="E46" s="708"/>
      <c r="F46" s="708"/>
      <c r="G46" s="708"/>
      <c r="H46" s="708"/>
      <c r="I46" s="708"/>
      <c r="J46" s="708"/>
      <c r="K46" s="708"/>
      <c r="L46" s="708"/>
      <c r="M46" s="708"/>
      <c r="N46" s="708"/>
      <c r="O46" s="708"/>
      <c r="P46" s="708"/>
      <c r="Q46" s="708"/>
      <c r="R46" s="708"/>
    </row>
    <row r="47" customFormat="false" ht="15" hidden="false" customHeight="true" outlineLevel="0" collapsed="false">
      <c r="A47" s="682"/>
      <c r="B47" s="709"/>
      <c r="C47" s="709"/>
      <c r="D47" s="709"/>
      <c r="E47" s="709"/>
      <c r="F47" s="709"/>
      <c r="G47" s="709"/>
      <c r="H47" s="709"/>
      <c r="I47" s="709"/>
      <c r="J47" s="709"/>
      <c r="K47" s="709"/>
      <c r="L47" s="709"/>
      <c r="M47" s="709"/>
      <c r="N47" s="709"/>
      <c r="O47" s="709"/>
      <c r="P47" s="709"/>
      <c r="Q47" s="709"/>
      <c r="R47" s="709"/>
    </row>
    <row r="48" s="713" customFormat="true" ht="17.25" hidden="false" customHeight="true" outlineLevel="0" collapsed="false">
      <c r="A48" s="710"/>
      <c r="B48" s="785" t="s">
        <v>1003</v>
      </c>
      <c r="C48" s="712" t="s">
        <v>1036</v>
      </c>
      <c r="D48" s="712"/>
      <c r="E48" s="712"/>
      <c r="F48" s="712"/>
      <c r="G48" s="712"/>
      <c r="H48" s="712"/>
      <c r="I48" s="712"/>
      <c r="J48" s="712"/>
      <c r="K48" s="712"/>
      <c r="L48" s="712"/>
      <c r="M48" s="712"/>
      <c r="N48" s="712"/>
      <c r="O48" s="712"/>
      <c r="P48" s="712"/>
      <c r="Q48" s="712"/>
      <c r="R48" s="712"/>
      <c r="S48" s="786"/>
    </row>
    <row r="49" customFormat="false" ht="13.5" hidden="false" customHeight="true" outlineLevel="0" collapsed="false">
      <c r="A49" s="682"/>
      <c r="B49" s="785"/>
      <c r="C49" s="714" t="s">
        <v>1005</v>
      </c>
      <c r="D49" s="715" t="s">
        <v>1037</v>
      </c>
      <c r="E49" s="716" t="s">
        <v>1007</v>
      </c>
      <c r="F49" s="716"/>
      <c r="G49" s="716"/>
      <c r="H49" s="716"/>
      <c r="I49" s="716"/>
      <c r="J49" s="716"/>
      <c r="K49" s="716"/>
      <c r="L49" s="716"/>
      <c r="M49" s="787" t="s">
        <v>1008</v>
      </c>
      <c r="N49" s="787"/>
      <c r="O49" s="787"/>
      <c r="P49" s="787"/>
      <c r="Q49" s="787"/>
      <c r="R49" s="788" t="s">
        <v>272</v>
      </c>
      <c r="S49" s="789"/>
    </row>
    <row r="50" customFormat="false" ht="52.5" hidden="false" customHeight="true" outlineLevel="0" collapsed="false">
      <c r="A50" s="682"/>
      <c r="B50" s="785"/>
      <c r="C50" s="714"/>
      <c r="D50" s="715"/>
      <c r="E50" s="721" t="s">
        <v>116</v>
      </c>
      <c r="F50" s="721" t="s">
        <v>1009</v>
      </c>
      <c r="G50" s="721" t="s">
        <v>1010</v>
      </c>
      <c r="H50" s="721" t="s">
        <v>1011</v>
      </c>
      <c r="I50" s="721" t="s">
        <v>118</v>
      </c>
      <c r="J50" s="721" t="s">
        <v>1012</v>
      </c>
      <c r="K50" s="790" t="s">
        <v>1013</v>
      </c>
      <c r="L50" s="790" t="s">
        <v>1014</v>
      </c>
      <c r="M50" s="721" t="s">
        <v>1038</v>
      </c>
      <c r="N50" s="721" t="s">
        <v>1015</v>
      </c>
      <c r="O50" s="721" t="s">
        <v>1017</v>
      </c>
      <c r="P50" s="721" t="s">
        <v>1018</v>
      </c>
      <c r="Q50" s="722" t="s">
        <v>1019</v>
      </c>
      <c r="R50" s="788"/>
    </row>
    <row r="51" s="799" customFormat="true" ht="15" hidden="false" customHeight="true" outlineLevel="0" collapsed="false">
      <c r="A51" s="791"/>
      <c r="B51" s="792" t="s">
        <v>1020</v>
      </c>
      <c r="C51" s="793" t="s">
        <v>1021</v>
      </c>
      <c r="D51" s="794"/>
      <c r="E51" s="795"/>
      <c r="F51" s="795"/>
      <c r="G51" s="795"/>
      <c r="H51" s="795"/>
      <c r="I51" s="795"/>
      <c r="J51" s="795"/>
      <c r="K51" s="795"/>
      <c r="L51" s="795"/>
      <c r="M51" s="796"/>
      <c r="N51" s="796"/>
      <c r="O51" s="795"/>
      <c r="P51" s="796"/>
      <c r="Q51" s="797"/>
      <c r="R51" s="798"/>
    </row>
    <row r="52" customFormat="false" ht="13.5" hidden="false" customHeight="true" outlineLevel="0" collapsed="false">
      <c r="A52" s="723"/>
      <c r="B52" s="755" t="s">
        <v>1022</v>
      </c>
      <c r="C52" s="728" t="n">
        <f aca="false">+C29*$C$69</f>
        <v>1203.8745576</v>
      </c>
      <c r="D52" s="800"/>
      <c r="E52" s="800" t="n">
        <f aca="false">+E29*$E$69</f>
        <v>0</v>
      </c>
      <c r="F52" s="728" t="n">
        <f aca="false">+F29*$F$69</f>
        <v>46.0493658139535</v>
      </c>
      <c r="G52" s="728" t="n">
        <f aca="false">+G29*$G$69</f>
        <v>183.8821524</v>
      </c>
      <c r="H52" s="800"/>
      <c r="I52" s="800"/>
      <c r="J52" s="800"/>
      <c r="K52" s="800"/>
      <c r="L52" s="800"/>
      <c r="M52" s="800"/>
      <c r="N52" s="800"/>
      <c r="O52" s="800"/>
      <c r="P52" s="800"/>
      <c r="Q52" s="801"/>
      <c r="R52" s="802" t="n">
        <f aca="false">+C52+D52+E52+F52+G52+H52+I52+J52+K52+L52+M52+N52+O52+P52+Q52</f>
        <v>1433.80607581395</v>
      </c>
    </row>
    <row r="53" customFormat="false" ht="17.25" hidden="false" customHeight="true" outlineLevel="0" collapsed="false">
      <c r="A53" s="723"/>
      <c r="B53" s="803" t="s">
        <v>1023</v>
      </c>
      <c r="C53" s="728" t="n">
        <f aca="false">+C30*$C$69</f>
        <v>17988.7056886245</v>
      </c>
      <c r="D53" s="800"/>
      <c r="E53" s="800" t="n">
        <f aca="false">+E30*$E$69</f>
        <v>0</v>
      </c>
      <c r="F53" s="728" t="n">
        <f aca="false">+F30*$F$69</f>
        <v>774.382737570872</v>
      </c>
      <c r="G53" s="728" t="n">
        <f aca="false">+G30*$G$69</f>
        <v>7183.33422141931</v>
      </c>
      <c r="H53" s="800"/>
      <c r="I53" s="800"/>
      <c r="J53" s="800"/>
      <c r="K53" s="800"/>
      <c r="L53" s="728" t="n">
        <f aca="false">+L30*L69</f>
        <v>0</v>
      </c>
      <c r="M53" s="800"/>
      <c r="N53" s="800"/>
      <c r="O53" s="800"/>
      <c r="P53" s="800"/>
      <c r="Q53" s="801"/>
      <c r="R53" s="802" t="n">
        <f aca="false">+C53+D53+E53+F53+G53+H53+I53+J53+K53+L53+M53+N53+O53+P53+Q53</f>
        <v>25946.4226476147</v>
      </c>
    </row>
    <row r="54" customFormat="false" ht="17.25" hidden="false" customHeight="true" outlineLevel="0" collapsed="false">
      <c r="A54" s="723"/>
      <c r="B54" s="755" t="s">
        <v>1024</v>
      </c>
      <c r="C54" s="728" t="n">
        <f aca="false">+C31*$C$69</f>
        <v>39033.5947155</v>
      </c>
      <c r="D54" s="800"/>
      <c r="E54" s="800" t="n">
        <f aca="false">+E31*$E$69</f>
        <v>0</v>
      </c>
      <c r="F54" s="728" t="n">
        <f aca="false">+F31*F69</f>
        <v>1411.98618389238</v>
      </c>
      <c r="G54" s="728" t="n">
        <f aca="false">+G31*$G$69</f>
        <v>6086.07844267084</v>
      </c>
      <c r="H54" s="800"/>
      <c r="I54" s="800"/>
      <c r="J54" s="800"/>
      <c r="K54" s="800"/>
      <c r="L54" s="800"/>
      <c r="M54" s="800"/>
      <c r="N54" s="800"/>
      <c r="O54" s="800"/>
      <c r="P54" s="800"/>
      <c r="Q54" s="801"/>
      <c r="R54" s="802" t="n">
        <f aca="false">+C54+D54+E54+F54+G54+H54+I54+J54+K54+L54+M54+N54+O54+P54+Q54</f>
        <v>46531.6593420632</v>
      </c>
    </row>
    <row r="55" customFormat="false" ht="17.25" hidden="false" customHeight="true" outlineLevel="0" collapsed="false">
      <c r="A55" s="723"/>
      <c r="B55" s="755" t="s">
        <v>1025</v>
      </c>
      <c r="C55" s="728" t="n">
        <f aca="false">+C32*$C$69</f>
        <v>817.1061855</v>
      </c>
      <c r="D55" s="800"/>
      <c r="E55" s="800" t="n">
        <f aca="false">+E32*$E$69</f>
        <v>0</v>
      </c>
      <c r="F55" s="728" t="n">
        <f aca="false">+F32*$F$69</f>
        <v>0</v>
      </c>
      <c r="G55" s="728" t="n">
        <f aca="false">+G32*$G$69</f>
        <v>0</v>
      </c>
      <c r="H55" s="800"/>
      <c r="I55" s="800"/>
      <c r="J55" s="800"/>
      <c r="K55" s="800"/>
      <c r="L55" s="800"/>
      <c r="M55" s="800"/>
      <c r="N55" s="800"/>
      <c r="O55" s="800"/>
      <c r="P55" s="800"/>
      <c r="Q55" s="801"/>
      <c r="R55" s="802" t="n">
        <f aca="false">+C55+D55+E55+F55+G55+H55+I55+J55+K55+L55+M55+N55+O55+P55+Q55</f>
        <v>817.1061855</v>
      </c>
    </row>
    <row r="56" customFormat="false" ht="33" hidden="false" customHeight="true" outlineLevel="0" collapsed="false">
      <c r="A56" s="723"/>
      <c r="B56" s="804" t="s">
        <v>1026</v>
      </c>
      <c r="C56" s="728" t="n">
        <f aca="false">+C33*$C$69</f>
        <v>0</v>
      </c>
      <c r="D56" s="800"/>
      <c r="E56" s="800" t="n">
        <f aca="false">+E33*$E$69</f>
        <v>0</v>
      </c>
      <c r="F56" s="728" t="n">
        <f aca="false">+F33*$F$69</f>
        <v>0</v>
      </c>
      <c r="G56" s="728" t="n">
        <f aca="false">+G33*$G$69</f>
        <v>0</v>
      </c>
      <c r="H56" s="800"/>
      <c r="I56" s="800"/>
      <c r="J56" s="800"/>
      <c r="K56" s="800"/>
      <c r="L56" s="800"/>
      <c r="M56" s="800"/>
      <c r="N56" s="800"/>
      <c r="O56" s="800"/>
      <c r="P56" s="800"/>
      <c r="Q56" s="801"/>
      <c r="R56" s="733" t="n">
        <f aca="false">+C56+D56+E56+F56+G56+H56+I56+J56+K56+L56+M56+N56+O56+P56+Q56</f>
        <v>0</v>
      </c>
    </row>
    <row r="57" customFormat="false" ht="13.5" hidden="false" customHeight="true" outlineLevel="0" collapsed="false">
      <c r="A57" s="723"/>
      <c r="B57" s="805" t="s">
        <v>1027</v>
      </c>
      <c r="C57" s="806" t="n">
        <f aca="false">SUM(C52:C56)</f>
        <v>59043.2811472245</v>
      </c>
      <c r="D57" s="807" t="n">
        <f aca="false">SUM(D52:D56)</f>
        <v>0</v>
      </c>
      <c r="E57" s="807" t="n">
        <f aca="false">SUM(E52:E56)</f>
        <v>0</v>
      </c>
      <c r="F57" s="806" t="n">
        <f aca="false">SUM(F52:F56)</f>
        <v>2232.4182872772</v>
      </c>
      <c r="G57" s="806" t="n">
        <f aca="false">SUM(G52:G56)</f>
        <v>13453.2948164902</v>
      </c>
      <c r="H57" s="807" t="n">
        <f aca="false">SUM(H52:H56)</f>
        <v>0</v>
      </c>
      <c r="I57" s="807" t="n">
        <f aca="false">SUM(I52:I56)</f>
        <v>0</v>
      </c>
      <c r="J57" s="807" t="n">
        <f aca="false">SUM(J52:J56)</f>
        <v>0</v>
      </c>
      <c r="K57" s="807" t="n">
        <f aca="false">SUM(K52:K56)</f>
        <v>0</v>
      </c>
      <c r="L57" s="806" t="n">
        <f aca="false">SUM(L52:L56)</f>
        <v>0</v>
      </c>
      <c r="M57" s="807" t="n">
        <f aca="false">SUM(M52:M56)</f>
        <v>0</v>
      </c>
      <c r="N57" s="807" t="n">
        <f aca="false">SUM(N52:N56)</f>
        <v>0</v>
      </c>
      <c r="O57" s="807" t="n">
        <f aca="false">SUM(O52:O56)</f>
        <v>0</v>
      </c>
      <c r="P57" s="807" t="n">
        <f aca="false">SUM(P52:P56)</f>
        <v>0</v>
      </c>
      <c r="Q57" s="808" t="n">
        <f aca="false">SUM(Q52:Q56)</f>
        <v>0</v>
      </c>
      <c r="R57" s="944" t="n">
        <f aca="false">SUM(R52:R56)</f>
        <v>74728.9942509919</v>
      </c>
    </row>
    <row r="58" s="799" customFormat="true" ht="15" hidden="false" customHeight="true" outlineLevel="0" collapsed="false">
      <c r="A58" s="791"/>
      <c r="B58" s="792" t="s">
        <v>1028</v>
      </c>
      <c r="C58" s="810"/>
      <c r="D58" s="811"/>
      <c r="E58" s="811"/>
      <c r="F58" s="811"/>
      <c r="G58" s="811"/>
      <c r="H58" s="811"/>
      <c r="I58" s="811"/>
      <c r="J58" s="811"/>
      <c r="K58" s="811"/>
      <c r="L58" s="811"/>
      <c r="M58" s="812"/>
      <c r="N58" s="812"/>
      <c r="O58" s="811"/>
      <c r="P58" s="812"/>
      <c r="Q58" s="813"/>
      <c r="R58" s="814"/>
    </row>
    <row r="59" customFormat="false" ht="13.5" hidden="false" customHeight="true" outlineLevel="0" collapsed="false">
      <c r="A59" s="723"/>
      <c r="B59" s="755" t="s">
        <v>1029</v>
      </c>
      <c r="C59" s="815"/>
      <c r="D59" s="800"/>
      <c r="E59" s="800"/>
      <c r="F59" s="800"/>
      <c r="G59" s="800"/>
      <c r="H59" s="728" t="n">
        <f aca="false">+H36*$H$69</f>
        <v>356.30187968295</v>
      </c>
      <c r="I59" s="800" t="n">
        <f aca="false">I36*$I$69</f>
        <v>86.40818667</v>
      </c>
      <c r="J59" s="800"/>
      <c r="K59" s="800"/>
      <c r="L59" s="800"/>
      <c r="M59" s="800"/>
      <c r="N59" s="800"/>
      <c r="O59" s="800"/>
      <c r="P59" s="800"/>
      <c r="Q59" s="801"/>
      <c r="R59" s="733" t="n">
        <f aca="false">+H59+I59</f>
        <v>442.71006635295</v>
      </c>
    </row>
    <row r="60" customFormat="false" ht="14.25" hidden="false" customHeight="true" outlineLevel="0" collapsed="false">
      <c r="A60" s="723"/>
      <c r="B60" s="755" t="s">
        <v>1030</v>
      </c>
      <c r="C60" s="815"/>
      <c r="D60" s="800"/>
      <c r="E60" s="800"/>
      <c r="F60" s="800"/>
      <c r="G60" s="800"/>
      <c r="H60" s="728" t="n">
        <f aca="false">+H37*$H$69</f>
        <v>0</v>
      </c>
      <c r="I60" s="800"/>
      <c r="J60" s="800"/>
      <c r="K60" s="800"/>
      <c r="L60" s="800"/>
      <c r="M60" s="800"/>
      <c r="N60" s="800"/>
      <c r="O60" s="800"/>
      <c r="P60" s="800"/>
      <c r="Q60" s="801"/>
      <c r="R60" s="733" t="n">
        <f aca="false">+H60</f>
        <v>0</v>
      </c>
    </row>
    <row r="61" customFormat="false" ht="15.75" hidden="false" customHeight="true" outlineLevel="0" collapsed="false">
      <c r="A61" s="723"/>
      <c r="B61" s="755" t="s">
        <v>1031</v>
      </c>
      <c r="C61" s="815"/>
      <c r="D61" s="800"/>
      <c r="E61" s="800"/>
      <c r="F61" s="800"/>
      <c r="G61" s="800"/>
      <c r="H61" s="728" t="n">
        <f aca="false">+H38*$H$69</f>
        <v>14950.8466556036</v>
      </c>
      <c r="I61" s="800" t="n">
        <f aca="false">+I38*I69</f>
        <v>7964.46323878046</v>
      </c>
      <c r="J61" s="800"/>
      <c r="K61" s="800"/>
      <c r="L61" s="800"/>
      <c r="M61" s="800"/>
      <c r="N61" s="800"/>
      <c r="O61" s="800"/>
      <c r="P61" s="800"/>
      <c r="Q61" s="801"/>
      <c r="R61" s="733" t="n">
        <f aca="false">+H61+I61</f>
        <v>22915.3098943841</v>
      </c>
    </row>
    <row r="62" customFormat="false" ht="15.75" hidden="false" customHeight="false" outlineLevel="0" collapsed="false">
      <c r="A62" s="723"/>
      <c r="B62" s="816" t="s">
        <v>1032</v>
      </c>
      <c r="C62" s="807" t="n">
        <f aca="false">SUM(C59:C61)</f>
        <v>0</v>
      </c>
      <c r="D62" s="807" t="n">
        <f aca="false">SUM(D59:D61)</f>
        <v>0</v>
      </c>
      <c r="E62" s="807" t="n">
        <f aca="false">SUM(E59:E61)</f>
        <v>0</v>
      </c>
      <c r="F62" s="807" t="n">
        <f aca="false">SUM(F59:F61)</f>
        <v>0</v>
      </c>
      <c r="G62" s="807" t="n">
        <f aca="false">SUM(G59:G61)</f>
        <v>0</v>
      </c>
      <c r="H62" s="806" t="n">
        <f aca="false">SUM(H59:H61)</f>
        <v>15307.1485352866</v>
      </c>
      <c r="I62" s="807" t="n">
        <f aca="false">SUM(I59:I61)</f>
        <v>8050.87142545046</v>
      </c>
      <c r="J62" s="807" t="n">
        <f aca="false">SUM(J59:J61)</f>
        <v>0</v>
      </c>
      <c r="K62" s="807" t="n">
        <f aca="false">SUM(K59:K61)</f>
        <v>0</v>
      </c>
      <c r="L62" s="807" t="n">
        <f aca="false">SUM(L59:L61)</f>
        <v>0</v>
      </c>
      <c r="M62" s="807" t="n">
        <f aca="false">SUM(M59:M61)</f>
        <v>0</v>
      </c>
      <c r="N62" s="807" t="n">
        <f aca="false">SUM(N59:N61)</f>
        <v>0</v>
      </c>
      <c r="O62" s="807" t="n">
        <f aca="false">SUM(O59:O61)</f>
        <v>0</v>
      </c>
      <c r="P62" s="807" t="n">
        <f aca="false">SUM(P59:P61)</f>
        <v>0</v>
      </c>
      <c r="Q62" s="807" t="n">
        <f aca="false">SUM(Q59:Q61)</f>
        <v>0</v>
      </c>
      <c r="R62" s="945" t="n">
        <f aca="false">SUM(R59:R61)</f>
        <v>23358.019960737</v>
      </c>
    </row>
    <row r="63" s="799" customFormat="true" ht="15" hidden="false" customHeight="true" outlineLevel="0" collapsed="false">
      <c r="A63" s="791"/>
      <c r="B63" s="818" t="s">
        <v>1039</v>
      </c>
      <c r="C63" s="819"/>
      <c r="D63" s="811"/>
      <c r="E63" s="811"/>
      <c r="F63" s="811"/>
      <c r="G63" s="811"/>
      <c r="H63" s="811"/>
      <c r="I63" s="811"/>
      <c r="J63" s="811"/>
      <c r="K63" s="811"/>
      <c r="L63" s="811"/>
      <c r="M63" s="812"/>
      <c r="N63" s="812"/>
      <c r="O63" s="811"/>
      <c r="P63" s="812"/>
      <c r="Q63" s="813"/>
      <c r="R63" s="814"/>
    </row>
    <row r="64" customFormat="false" ht="15" hidden="false" customHeight="true" outlineLevel="0" collapsed="false">
      <c r="A64" s="791"/>
      <c r="B64" s="821" t="s">
        <v>1040</v>
      </c>
      <c r="C64" s="822"/>
      <c r="D64" s="822"/>
      <c r="E64" s="822"/>
      <c r="F64" s="822"/>
      <c r="G64" s="822"/>
      <c r="H64" s="822"/>
      <c r="I64" s="822"/>
      <c r="J64" s="822"/>
      <c r="K64" s="822"/>
      <c r="L64" s="822"/>
      <c r="M64" s="822"/>
      <c r="N64" s="822"/>
      <c r="O64" s="822"/>
      <c r="P64" s="822"/>
      <c r="Q64" s="822"/>
      <c r="R64" s="802" t="n">
        <f aca="false">+'T. PAES'!F69</f>
        <v>8007.43090743706</v>
      </c>
    </row>
    <row r="65" customFormat="false" ht="15" hidden="false" customHeight="true" outlineLevel="0" collapsed="false">
      <c r="A65" s="791"/>
      <c r="B65" s="823" t="s">
        <v>1041</v>
      </c>
      <c r="C65" s="822"/>
      <c r="D65" s="822"/>
      <c r="E65" s="822"/>
      <c r="F65" s="822"/>
      <c r="G65" s="822"/>
      <c r="H65" s="822"/>
      <c r="I65" s="822"/>
      <c r="J65" s="822"/>
      <c r="K65" s="822"/>
      <c r="L65" s="822"/>
      <c r="M65" s="822"/>
      <c r="N65" s="822"/>
      <c r="O65" s="822"/>
      <c r="P65" s="822"/>
      <c r="Q65" s="822"/>
      <c r="R65" s="802" t="n">
        <f aca="false">+'T. PAES'!F70</f>
        <v>6211.316544048</v>
      </c>
    </row>
    <row r="66" customFormat="false" ht="15.75" hidden="false" customHeight="false" outlineLevel="0" collapsed="false">
      <c r="A66" s="723"/>
      <c r="B66" s="824" t="s">
        <v>1042</v>
      </c>
      <c r="C66" s="822"/>
      <c r="D66" s="822"/>
      <c r="E66" s="822"/>
      <c r="F66" s="822"/>
      <c r="G66" s="822"/>
      <c r="H66" s="822"/>
      <c r="I66" s="822"/>
      <c r="J66" s="822"/>
      <c r="K66" s="822"/>
      <c r="L66" s="822"/>
      <c r="M66" s="822"/>
      <c r="N66" s="822"/>
      <c r="O66" s="822"/>
      <c r="P66" s="822"/>
      <c r="Q66" s="822"/>
      <c r="R66" s="946"/>
    </row>
    <row r="67" customFormat="false" ht="17.25" hidden="false" customHeight="false" outlineLevel="0" collapsed="false">
      <c r="A67" s="723"/>
      <c r="B67" s="826" t="s">
        <v>272</v>
      </c>
      <c r="C67" s="947" t="n">
        <f aca="false">C57+C62</f>
        <v>59043.2811472245</v>
      </c>
      <c r="D67" s="948" t="n">
        <f aca="false">D57+D62</f>
        <v>0</v>
      </c>
      <c r="E67" s="948" t="n">
        <f aca="false">E57+E62</f>
        <v>0</v>
      </c>
      <c r="F67" s="948" t="n">
        <f aca="false">F57+F62</f>
        <v>2232.4182872772</v>
      </c>
      <c r="G67" s="948" t="n">
        <f aca="false">G57+G62</f>
        <v>13453.2948164902</v>
      </c>
      <c r="H67" s="948" t="n">
        <f aca="false">H57+H62</f>
        <v>15307.1485352866</v>
      </c>
      <c r="I67" s="948" t="n">
        <f aca="false">I57+I62</f>
        <v>8050.87142545046</v>
      </c>
      <c r="J67" s="948" t="n">
        <f aca="false">J57+J62</f>
        <v>0</v>
      </c>
      <c r="K67" s="948" t="n">
        <f aca="false">K57+K62</f>
        <v>0</v>
      </c>
      <c r="L67" s="948" t="n">
        <f aca="false">L57+L62</f>
        <v>0</v>
      </c>
      <c r="M67" s="948" t="n">
        <f aca="false">M57+M62</f>
        <v>0</v>
      </c>
      <c r="N67" s="948" t="n">
        <f aca="false">N57+N62</f>
        <v>0</v>
      </c>
      <c r="O67" s="948" t="n">
        <f aca="false">O57+O62</f>
        <v>0</v>
      </c>
      <c r="P67" s="948" t="n">
        <f aca="false">P57+P62</f>
        <v>0</v>
      </c>
      <c r="Q67" s="949" t="n">
        <f aca="false">Q57+Q62</f>
        <v>0</v>
      </c>
      <c r="R67" s="949" t="n">
        <f aca="false">R57+R62+R64+R65</f>
        <v>112305.761663214</v>
      </c>
    </row>
    <row r="68" customFormat="false" ht="15.75" hidden="false" customHeight="true" outlineLevel="0" collapsed="false">
      <c r="A68" s="701"/>
      <c r="B68" s="783"/>
      <c r="C68" s="828"/>
      <c r="D68" s="828"/>
      <c r="E68" s="829"/>
      <c r="F68" s="829"/>
      <c r="G68" s="829"/>
      <c r="H68" s="829"/>
      <c r="I68" s="829"/>
      <c r="J68" s="829"/>
      <c r="K68" s="829"/>
      <c r="L68" s="829"/>
      <c r="M68" s="829"/>
      <c r="N68" s="829"/>
      <c r="O68" s="829"/>
      <c r="P68" s="829"/>
      <c r="Q68" s="829"/>
      <c r="R68" s="829"/>
    </row>
    <row r="69" customFormat="false" ht="15.75" hidden="false" customHeight="true" outlineLevel="0" collapsed="false">
      <c r="A69" s="701"/>
      <c r="B69" s="830" t="s">
        <v>1043</v>
      </c>
      <c r="C69" s="831" t="n">
        <f aca="false">+'T.AJUNTAMENT'!F7</f>
        <v>0.8481</v>
      </c>
      <c r="D69" s="832"/>
      <c r="E69" s="832" t="n">
        <f aca="false">+'T.AJUNTAMENT'!B8</f>
        <v>0.202</v>
      </c>
      <c r="F69" s="833" t="n">
        <v>0.267</v>
      </c>
      <c r="G69" s="834" t="n">
        <f aca="false">+'T.AJUNTAMENT'!B10</f>
        <v>0.267</v>
      </c>
      <c r="H69" s="832" t="n">
        <f aca="false">+'T.AJUNTAMENT'!B10</f>
        <v>0.267</v>
      </c>
      <c r="I69" s="832" t="n">
        <f aca="false">+'T.AJUNTAMENT'!B11</f>
        <v>0.249</v>
      </c>
      <c r="J69" s="833"/>
      <c r="K69" s="832"/>
      <c r="L69" s="832" t="n">
        <f aca="false">+'T.AJUNTAMENT'!B12</f>
        <v>0.279</v>
      </c>
      <c r="M69" s="832"/>
      <c r="N69" s="833"/>
      <c r="O69" s="834"/>
      <c r="P69" s="832"/>
      <c r="Q69" s="835"/>
      <c r="R69" s="829"/>
    </row>
    <row r="70" customFormat="false" ht="32.25" hidden="false" customHeight="true" outlineLevel="0" collapsed="false">
      <c r="A70" s="701"/>
      <c r="B70" s="836" t="s">
        <v>1044</v>
      </c>
      <c r="C70" s="837"/>
      <c r="D70" s="838"/>
      <c r="E70" s="839"/>
      <c r="F70" s="839"/>
      <c r="G70" s="839"/>
      <c r="H70" s="839"/>
      <c r="I70" s="839"/>
      <c r="J70" s="839"/>
      <c r="K70" s="839"/>
      <c r="L70" s="839"/>
      <c r="M70" s="839"/>
      <c r="N70" s="839"/>
      <c r="O70" s="839"/>
      <c r="P70" s="839"/>
      <c r="Q70" s="839"/>
      <c r="R70" s="829"/>
    </row>
    <row r="71" customFormat="false" ht="15.75" hidden="false" customHeight="true" outlineLevel="0" collapsed="false">
      <c r="A71" s="701"/>
      <c r="B71" s="840"/>
      <c r="C71" s="829"/>
      <c r="D71" s="829"/>
      <c r="E71" s="829"/>
      <c r="F71" s="829"/>
      <c r="G71" s="829"/>
      <c r="H71" s="829"/>
      <c r="I71" s="829"/>
      <c r="J71" s="829"/>
      <c r="K71" s="829"/>
      <c r="L71" s="829"/>
      <c r="M71" s="829"/>
      <c r="N71" s="829"/>
      <c r="O71" s="829"/>
      <c r="P71" s="829"/>
      <c r="Q71" s="829"/>
      <c r="R71" s="829"/>
    </row>
    <row r="72" customFormat="false" ht="15.75" hidden="false" customHeight="true" outlineLevel="0" collapsed="false">
      <c r="A72" s="701"/>
      <c r="B72" s="674" t="s">
        <v>1045</v>
      </c>
      <c r="D72" s="840"/>
      <c r="P72" s="682"/>
      <c r="Q72" s="682"/>
      <c r="R72" s="682"/>
      <c r="S72" s="682"/>
    </row>
    <row r="73" customFormat="false" ht="15" hidden="false" customHeight="true" outlineLevel="0" collapsed="false">
      <c r="A73" s="682"/>
      <c r="B73" s="708" t="s">
        <v>1002</v>
      </c>
      <c r="C73" s="708"/>
      <c r="D73" s="708"/>
      <c r="E73" s="708"/>
      <c r="F73" s="708"/>
      <c r="G73" s="708"/>
      <c r="H73" s="708"/>
      <c r="I73" s="708"/>
      <c r="J73" s="708"/>
      <c r="K73" s="708"/>
      <c r="L73" s="708"/>
      <c r="M73" s="708"/>
      <c r="N73" s="708"/>
      <c r="O73" s="708"/>
      <c r="P73" s="708"/>
      <c r="Q73" s="708"/>
      <c r="R73" s="684"/>
    </row>
    <row r="74" customFormat="false" ht="15" hidden="false" customHeight="true" outlineLevel="0" collapsed="false">
      <c r="A74" s="682"/>
      <c r="B74" s="709"/>
      <c r="C74" s="709"/>
      <c r="D74" s="709"/>
      <c r="E74" s="709"/>
      <c r="F74" s="709"/>
      <c r="G74" s="709"/>
      <c r="H74" s="709"/>
      <c r="I74" s="709"/>
      <c r="J74" s="709"/>
      <c r="K74" s="709"/>
      <c r="L74" s="709"/>
      <c r="M74" s="709"/>
      <c r="N74" s="709"/>
      <c r="O74" s="709"/>
      <c r="P74" s="709"/>
      <c r="Q74" s="709"/>
      <c r="R74" s="709"/>
    </row>
    <row r="75" customFormat="false" ht="30.95" hidden="false" customHeight="true" outlineLevel="0" collapsed="false">
      <c r="A75" s="682"/>
      <c r="B75" s="841" t="s">
        <v>1046</v>
      </c>
      <c r="C75" s="841" t="s">
        <v>1047</v>
      </c>
      <c r="D75" s="842" t="s">
        <v>1048</v>
      </c>
      <c r="E75" s="842"/>
      <c r="F75" s="842"/>
      <c r="G75" s="842"/>
      <c r="H75" s="842"/>
      <c r="I75" s="842"/>
      <c r="J75" s="842"/>
      <c r="K75" s="842"/>
      <c r="L75" s="842"/>
      <c r="M75" s="842"/>
      <c r="N75" s="842"/>
      <c r="O75" s="843" t="s">
        <v>1049</v>
      </c>
      <c r="P75" s="841" t="s">
        <v>1050</v>
      </c>
      <c r="Q75" s="841"/>
      <c r="R75" s="701"/>
      <c r="S75" s="682"/>
    </row>
    <row r="76" customFormat="false" ht="15" hidden="false" customHeight="true" outlineLevel="0" collapsed="false">
      <c r="A76" s="682"/>
      <c r="B76" s="841"/>
      <c r="C76" s="841"/>
      <c r="D76" s="844" t="s">
        <v>1007</v>
      </c>
      <c r="E76" s="844"/>
      <c r="F76" s="844"/>
      <c r="G76" s="844"/>
      <c r="H76" s="844"/>
      <c r="I76" s="845" t="s">
        <v>1051</v>
      </c>
      <c r="J76" s="845" t="s">
        <v>1052</v>
      </c>
      <c r="K76" s="846" t="s">
        <v>1015</v>
      </c>
      <c r="L76" s="846" t="s">
        <v>1017</v>
      </c>
      <c r="M76" s="846" t="s">
        <v>1053</v>
      </c>
      <c r="N76" s="847" t="s">
        <v>1054</v>
      </c>
      <c r="O76" s="843"/>
      <c r="P76" s="841"/>
      <c r="Q76" s="841"/>
      <c r="R76" s="701"/>
      <c r="S76" s="682"/>
    </row>
    <row r="77" customFormat="false" ht="15" hidden="false" customHeight="true" outlineLevel="0" collapsed="false">
      <c r="A77" s="682"/>
      <c r="B77" s="841"/>
      <c r="C77" s="841"/>
      <c r="D77" s="848" t="s">
        <v>116</v>
      </c>
      <c r="E77" s="719" t="s">
        <v>1009</v>
      </c>
      <c r="F77" s="715" t="s">
        <v>1010</v>
      </c>
      <c r="G77" s="849" t="s">
        <v>1012</v>
      </c>
      <c r="H77" s="850" t="s">
        <v>1013</v>
      </c>
      <c r="I77" s="845"/>
      <c r="J77" s="845"/>
      <c r="K77" s="846"/>
      <c r="L77" s="846"/>
      <c r="M77" s="846"/>
      <c r="N77" s="847"/>
      <c r="O77" s="843"/>
      <c r="P77" s="841"/>
      <c r="Q77" s="841"/>
      <c r="R77" s="701"/>
      <c r="S77" s="682"/>
    </row>
    <row r="78" customFormat="false" ht="15" hidden="false" customHeight="true" outlineLevel="0" collapsed="false">
      <c r="A78" s="723"/>
      <c r="B78" s="851" t="s">
        <v>1055</v>
      </c>
      <c r="C78" s="852"/>
      <c r="D78" s="853"/>
      <c r="E78" s="854"/>
      <c r="F78" s="854"/>
      <c r="G78" s="855"/>
      <c r="H78" s="856"/>
      <c r="I78" s="857"/>
      <c r="J78" s="854"/>
      <c r="K78" s="854"/>
      <c r="L78" s="854"/>
      <c r="M78" s="858"/>
      <c r="N78" s="859"/>
      <c r="O78" s="860"/>
      <c r="P78" s="860"/>
      <c r="Q78" s="860"/>
      <c r="R78" s="682"/>
      <c r="S78" s="682"/>
    </row>
    <row r="79" customFormat="false" ht="15" hidden="false" customHeight="true" outlineLevel="0" collapsed="false">
      <c r="A79" s="723"/>
      <c r="B79" s="861" t="s">
        <v>1056</v>
      </c>
      <c r="C79" s="862"/>
      <c r="D79" s="853"/>
      <c r="E79" s="854"/>
      <c r="F79" s="854"/>
      <c r="G79" s="855"/>
      <c r="H79" s="856"/>
      <c r="I79" s="857"/>
      <c r="J79" s="854"/>
      <c r="K79" s="854"/>
      <c r="L79" s="854"/>
      <c r="M79" s="863"/>
      <c r="N79" s="859"/>
      <c r="O79" s="864"/>
      <c r="P79" s="864"/>
      <c r="Q79" s="864"/>
    </row>
    <row r="80" customFormat="false" ht="15" hidden="false" customHeight="true" outlineLevel="0" collapsed="false">
      <c r="A80" s="723"/>
      <c r="B80" s="861" t="s">
        <v>244</v>
      </c>
      <c r="C80" s="862" t="n">
        <f aca="false">-'T. PAES'!F57</f>
        <v>78.13</v>
      </c>
      <c r="D80" s="853"/>
      <c r="E80" s="854"/>
      <c r="F80" s="854"/>
      <c r="G80" s="855"/>
      <c r="H80" s="856"/>
      <c r="I80" s="857"/>
      <c r="J80" s="854"/>
      <c r="K80" s="854"/>
      <c r="L80" s="854"/>
      <c r="M80" s="854"/>
      <c r="N80" s="859"/>
      <c r="O80" s="864" t="n">
        <f aca="false">+C69*C80</f>
        <v>66.262053</v>
      </c>
      <c r="P80" s="864"/>
      <c r="Q80" s="864"/>
      <c r="R80" s="682"/>
    </row>
    <row r="81" customFormat="false" ht="15" hidden="false" customHeight="true" outlineLevel="0" collapsed="false">
      <c r="A81" s="723"/>
      <c r="B81" s="866" t="s">
        <v>1057</v>
      </c>
      <c r="C81" s="862"/>
      <c r="D81" s="867"/>
      <c r="E81" s="868"/>
      <c r="F81" s="868"/>
      <c r="G81" s="869"/>
      <c r="H81" s="870"/>
      <c r="I81" s="871"/>
      <c r="J81" s="868"/>
      <c r="K81" s="868"/>
      <c r="L81" s="868"/>
      <c r="M81" s="868"/>
      <c r="N81" s="872"/>
      <c r="O81" s="864"/>
      <c r="P81" s="864"/>
      <c r="Q81" s="864"/>
      <c r="R81" s="701"/>
    </row>
    <row r="82" customFormat="false" ht="32.25" hidden="false" customHeight="true" outlineLevel="0" collapsed="false">
      <c r="A82" s="723"/>
      <c r="B82" s="873" t="s">
        <v>1058</v>
      </c>
      <c r="C82" s="874"/>
      <c r="D82" s="875"/>
      <c r="E82" s="876"/>
      <c r="F82" s="876"/>
      <c r="G82" s="876"/>
      <c r="H82" s="877"/>
      <c r="I82" s="878"/>
      <c r="J82" s="876"/>
      <c r="K82" s="876"/>
      <c r="L82" s="876"/>
      <c r="M82" s="879"/>
      <c r="N82" s="880"/>
      <c r="O82" s="881"/>
      <c r="P82" s="881"/>
      <c r="Q82" s="881"/>
      <c r="R82" s="701"/>
    </row>
    <row r="83" customFormat="false" ht="15" hidden="false" customHeight="true" outlineLevel="0" collapsed="false">
      <c r="A83" s="682"/>
      <c r="B83" s="882" t="s">
        <v>272</v>
      </c>
      <c r="C83" s="883" t="n">
        <f aca="false">SUM(C78:C82)</f>
        <v>78.13</v>
      </c>
      <c r="D83" s="883" t="n">
        <f aca="false">SUM(D81:D82)</f>
        <v>0</v>
      </c>
      <c r="E83" s="886" t="n">
        <f aca="false">SUM(E81:E82)</f>
        <v>0</v>
      </c>
      <c r="F83" s="886" t="n">
        <f aca="false">SUM(F81:F82)</f>
        <v>0</v>
      </c>
      <c r="G83" s="886" t="n">
        <f aca="false">SUM(G81:G82)</f>
        <v>0</v>
      </c>
      <c r="H83" s="886" t="n">
        <f aca="false">SUM(H81:H82)</f>
        <v>0</v>
      </c>
      <c r="I83" s="950" t="n">
        <f aca="false">SUM(I81:I82)</f>
        <v>0</v>
      </c>
      <c r="J83" s="884" t="n">
        <f aca="false">SUM(J81:J82)</f>
        <v>0</v>
      </c>
      <c r="K83" s="884" t="n">
        <f aca="false">SUM(K81:K82)</f>
        <v>0</v>
      </c>
      <c r="L83" s="885" t="n">
        <f aca="false">SUM(L81:L82)</f>
        <v>0</v>
      </c>
      <c r="M83" s="886" t="n">
        <f aca="false">SUM(M81:M82)</f>
        <v>0</v>
      </c>
      <c r="N83" s="951" t="n">
        <f aca="false">SUM(N81:N82)</f>
        <v>0</v>
      </c>
      <c r="O83" s="887" t="n">
        <f aca="false">SUM(O78:O82)</f>
        <v>66.262053</v>
      </c>
      <c r="P83" s="888"/>
      <c r="Q83" s="889"/>
      <c r="R83" s="701"/>
    </row>
    <row r="84" customFormat="false" ht="15" hidden="false" customHeight="true" outlineLevel="0" collapsed="false">
      <c r="A84" s="682"/>
      <c r="B84" s="890"/>
      <c r="C84" s="891"/>
      <c r="D84" s="891"/>
      <c r="E84" s="783"/>
      <c r="I84" s="892"/>
      <c r="N84" s="893"/>
    </row>
    <row r="85" customFormat="false" ht="15" hidden="false" customHeight="true" outlineLevel="0" collapsed="false">
      <c r="A85" s="682"/>
      <c r="B85" s="783"/>
      <c r="C85" s="891"/>
      <c r="D85" s="891"/>
    </row>
    <row r="86" customFormat="false" ht="15" hidden="false" customHeight="true" outlineLevel="0" collapsed="false">
      <c r="A86" s="682"/>
      <c r="B86" s="894" t="s">
        <v>1059</v>
      </c>
      <c r="C86" s="894"/>
      <c r="D86" s="895"/>
      <c r="E86" s="896"/>
    </row>
    <row r="87" customFormat="false" ht="15" hidden="false" customHeight="true" outlineLevel="0" collapsed="false">
      <c r="A87" s="682"/>
      <c r="B87" s="708" t="s">
        <v>1002</v>
      </c>
      <c r="C87" s="708"/>
      <c r="D87" s="708"/>
      <c r="E87" s="708"/>
      <c r="F87" s="708"/>
      <c r="G87" s="708"/>
      <c r="H87" s="708"/>
      <c r="I87" s="708"/>
      <c r="J87" s="708"/>
      <c r="K87" s="708"/>
      <c r="L87" s="708"/>
      <c r="M87" s="708"/>
      <c r="N87" s="708"/>
      <c r="O87" s="708"/>
      <c r="P87" s="708"/>
      <c r="Q87" s="684"/>
      <c r="R87" s="684"/>
    </row>
    <row r="88" customFormat="false" ht="15" hidden="false" customHeight="true" outlineLevel="0" collapsed="false">
      <c r="A88" s="682"/>
      <c r="B88" s="709"/>
      <c r="C88" s="709"/>
      <c r="D88" s="709"/>
      <c r="E88" s="709"/>
      <c r="F88" s="709"/>
      <c r="G88" s="709"/>
      <c r="H88" s="709"/>
      <c r="I88" s="709"/>
      <c r="J88" s="709"/>
      <c r="K88" s="709"/>
      <c r="L88" s="709"/>
      <c r="M88" s="709"/>
      <c r="N88" s="709"/>
      <c r="O88" s="709"/>
      <c r="P88" s="709"/>
      <c r="Q88" s="709"/>
      <c r="R88" s="709"/>
    </row>
    <row r="89" customFormat="false" ht="30.95" hidden="false" customHeight="true" outlineLevel="0" collapsed="false">
      <c r="A89" s="682"/>
      <c r="B89" s="841" t="s">
        <v>1060</v>
      </c>
      <c r="C89" s="841" t="s">
        <v>1061</v>
      </c>
      <c r="D89" s="842" t="s">
        <v>1048</v>
      </c>
      <c r="E89" s="842"/>
      <c r="F89" s="842"/>
      <c r="G89" s="842"/>
      <c r="H89" s="842"/>
      <c r="I89" s="842"/>
      <c r="J89" s="842"/>
      <c r="K89" s="842"/>
      <c r="L89" s="842"/>
      <c r="M89" s="842"/>
      <c r="N89" s="843" t="s">
        <v>1049</v>
      </c>
      <c r="O89" s="841" t="s">
        <v>1062</v>
      </c>
      <c r="P89" s="841"/>
      <c r="Q89" s="897"/>
      <c r="R89" s="701"/>
    </row>
    <row r="90" customFormat="false" ht="15" hidden="false" customHeight="true" outlineLevel="0" collapsed="false">
      <c r="A90" s="682"/>
      <c r="B90" s="841"/>
      <c r="C90" s="841"/>
      <c r="D90" s="898" t="s">
        <v>1007</v>
      </c>
      <c r="E90" s="898"/>
      <c r="F90" s="898"/>
      <c r="G90" s="898"/>
      <c r="H90" s="898"/>
      <c r="I90" s="849" t="s">
        <v>1052</v>
      </c>
      <c r="J90" s="849" t="s">
        <v>1015</v>
      </c>
      <c r="K90" s="715" t="s">
        <v>1017</v>
      </c>
      <c r="L90" s="846" t="s">
        <v>1053</v>
      </c>
      <c r="M90" s="847" t="s">
        <v>1054</v>
      </c>
      <c r="N90" s="843"/>
      <c r="O90" s="841"/>
      <c r="P90" s="841"/>
      <c r="Q90" s="897"/>
      <c r="R90" s="701"/>
    </row>
    <row r="91" customFormat="false" ht="15" hidden="false" customHeight="true" outlineLevel="0" collapsed="false">
      <c r="A91" s="682"/>
      <c r="B91" s="841"/>
      <c r="C91" s="841"/>
      <c r="D91" s="714" t="s">
        <v>116</v>
      </c>
      <c r="E91" s="719" t="s">
        <v>1009</v>
      </c>
      <c r="F91" s="715" t="s">
        <v>1010</v>
      </c>
      <c r="G91" s="719" t="s">
        <v>1012</v>
      </c>
      <c r="H91" s="899" t="s">
        <v>1013</v>
      </c>
      <c r="I91" s="849"/>
      <c r="J91" s="849"/>
      <c r="K91" s="715"/>
      <c r="L91" s="846"/>
      <c r="M91" s="847"/>
      <c r="N91" s="843"/>
      <c r="O91" s="841"/>
      <c r="P91" s="841"/>
      <c r="Q91" s="897"/>
      <c r="R91" s="701"/>
    </row>
    <row r="92" customFormat="false" ht="15" hidden="false" customHeight="true" outlineLevel="0" collapsed="false">
      <c r="A92" s="723"/>
      <c r="B92" s="900" t="s">
        <v>1057</v>
      </c>
      <c r="C92" s="901"/>
      <c r="D92" s="902"/>
      <c r="E92" s="903"/>
      <c r="F92" s="903"/>
      <c r="G92" s="904"/>
      <c r="H92" s="905"/>
      <c r="I92" s="902"/>
      <c r="J92" s="903"/>
      <c r="K92" s="903"/>
      <c r="L92" s="903"/>
      <c r="M92" s="906"/>
      <c r="N92" s="907"/>
      <c r="O92" s="908"/>
      <c r="P92" s="908"/>
      <c r="Q92" s="909"/>
      <c r="R92" s="680"/>
    </row>
    <row r="93" customFormat="false" ht="15" hidden="false" customHeight="true" outlineLevel="0" collapsed="false">
      <c r="A93" s="723"/>
      <c r="B93" s="910" t="s">
        <v>1063</v>
      </c>
      <c r="C93" s="911"/>
      <c r="D93" s="912"/>
      <c r="E93" s="913"/>
      <c r="F93" s="913"/>
      <c r="G93" s="914"/>
      <c r="H93" s="915"/>
      <c r="I93" s="912"/>
      <c r="J93" s="913"/>
      <c r="K93" s="913"/>
      <c r="L93" s="913"/>
      <c r="M93" s="916"/>
      <c r="N93" s="864"/>
      <c r="O93" s="917"/>
      <c r="P93" s="917"/>
      <c r="Q93" s="918"/>
      <c r="R93" s="701"/>
    </row>
    <row r="94" customFormat="false" ht="33.75" hidden="false" customHeight="true" outlineLevel="0" collapsed="false">
      <c r="A94" s="723"/>
      <c r="B94" s="919" t="s">
        <v>1064</v>
      </c>
      <c r="C94" s="920"/>
      <c r="D94" s="878"/>
      <c r="E94" s="876"/>
      <c r="F94" s="876"/>
      <c r="G94" s="876"/>
      <c r="H94" s="877"/>
      <c r="I94" s="878"/>
      <c r="J94" s="876"/>
      <c r="K94" s="876"/>
      <c r="L94" s="876"/>
      <c r="M94" s="921"/>
      <c r="N94" s="922"/>
      <c r="O94" s="881"/>
      <c r="P94" s="881"/>
      <c r="Q94" s="918"/>
      <c r="R94" s="701"/>
    </row>
    <row r="95" customFormat="false" ht="15" hidden="false" customHeight="true" outlineLevel="0" collapsed="false">
      <c r="A95" s="682"/>
      <c r="B95" s="923" t="s">
        <v>272</v>
      </c>
      <c r="C95" s="883" t="n">
        <f aca="false">SUM(C92:C94)</f>
        <v>0</v>
      </c>
      <c r="D95" s="883" t="n">
        <f aca="false">SUM(D92:D94)</f>
        <v>0</v>
      </c>
      <c r="E95" s="883" t="n">
        <f aca="false">SUM(E92:E94)</f>
        <v>0</v>
      </c>
      <c r="F95" s="883" t="n">
        <f aca="false">SUM(F92:F94)</f>
        <v>0</v>
      </c>
      <c r="G95" s="883" t="n">
        <f aca="false">SUM(G92:G94)</f>
        <v>0</v>
      </c>
      <c r="H95" s="883" t="n">
        <f aca="false">SUM(H92:H94)</f>
        <v>0</v>
      </c>
      <c r="I95" s="883" t="n">
        <f aca="false">SUM(I92:I94)</f>
        <v>0</v>
      </c>
      <c r="J95" s="883" t="n">
        <f aca="false">SUM(J92:J94)</f>
        <v>0</v>
      </c>
      <c r="K95" s="883" t="n">
        <f aca="false">SUM(K92:K94)</f>
        <v>0</v>
      </c>
      <c r="L95" s="883" t="n">
        <f aca="false">SUM(L92:L94)</f>
        <v>0</v>
      </c>
      <c r="M95" s="883" t="n">
        <f aca="false">SUM(M92:M94)</f>
        <v>0</v>
      </c>
      <c r="N95" s="883" t="n">
        <f aca="false">SUM(N92:N94)</f>
        <v>0</v>
      </c>
      <c r="O95" s="925"/>
      <c r="P95" s="925"/>
      <c r="Q95" s="918"/>
      <c r="R95" s="701"/>
    </row>
    <row r="96" customFormat="false" ht="15" hidden="false" customHeight="true" outlineLevel="0" collapsed="false">
      <c r="A96" s="682"/>
      <c r="B96" s="926"/>
      <c r="C96" s="926"/>
      <c r="D96" s="890"/>
      <c r="E96" s="927"/>
      <c r="F96" s="892"/>
      <c r="G96" s="892"/>
      <c r="H96" s="892"/>
      <c r="I96" s="892"/>
      <c r="J96" s="892"/>
      <c r="K96" s="892"/>
      <c r="L96" s="892"/>
      <c r="N96" s="892"/>
      <c r="P96" s="682"/>
    </row>
    <row r="97" customFormat="false" ht="16.5" hidden="false" customHeight="true" outlineLevel="0" collapsed="false">
      <c r="A97" s="682"/>
      <c r="B97" s="928"/>
      <c r="C97" s="928"/>
      <c r="D97" s="891"/>
      <c r="E97" s="783"/>
      <c r="P97" s="682"/>
    </row>
    <row r="98" customFormat="false" ht="15.75" hidden="false" customHeight="true" outlineLevel="0" collapsed="false">
      <c r="A98" s="668" t="s">
        <v>1065</v>
      </c>
      <c r="B98" s="669" t="s">
        <v>1066</v>
      </c>
      <c r="C98" s="668"/>
      <c r="D98" s="669"/>
      <c r="E98" s="668"/>
      <c r="F98" s="669"/>
      <c r="G98" s="668"/>
      <c r="H98" s="669"/>
      <c r="I98" s="668"/>
      <c r="J98" s="669"/>
      <c r="K98" s="667"/>
      <c r="L98" s="667"/>
      <c r="M98" s="667"/>
      <c r="N98" s="667"/>
    </row>
    <row r="99" customFormat="false" ht="18.75" hidden="false" customHeight="true" outlineLevel="0" collapsed="false">
      <c r="A99" s="682"/>
      <c r="B99" s="929" t="s">
        <v>1067</v>
      </c>
      <c r="C99" s="929"/>
      <c r="D99" s="929"/>
      <c r="E99" s="929"/>
      <c r="F99" s="929"/>
      <c r="G99" s="929"/>
      <c r="H99" s="929"/>
      <c r="I99" s="929"/>
      <c r="J99" s="929"/>
      <c r="K99" s="929"/>
      <c r="L99" s="929"/>
      <c r="M99" s="929"/>
      <c r="N99" s="929"/>
      <c r="O99" s="929"/>
      <c r="P99" s="929"/>
      <c r="Q99" s="929"/>
      <c r="R99" s="929"/>
      <c r="S99" s="930"/>
      <c r="T99" s="930"/>
    </row>
    <row r="100" customFormat="false" ht="18.75" hidden="false" customHeight="true" outlineLevel="0" collapsed="false">
      <c r="A100" s="682"/>
      <c r="B100" s="929" t="s">
        <v>1068</v>
      </c>
      <c r="C100" s="929"/>
      <c r="D100" s="929"/>
      <c r="E100" s="929"/>
      <c r="F100" s="929"/>
      <c r="G100" s="929"/>
      <c r="H100" s="929"/>
      <c r="I100" s="929"/>
      <c r="J100" s="929"/>
      <c r="K100" s="929"/>
      <c r="L100" s="929"/>
      <c r="M100" s="929"/>
      <c r="N100" s="929"/>
      <c r="O100" s="929"/>
      <c r="P100" s="929"/>
      <c r="Q100" s="929"/>
      <c r="R100" s="929"/>
      <c r="S100" s="930"/>
      <c r="T100" s="930"/>
    </row>
    <row r="101" customFormat="false" ht="18.75" hidden="false" customHeight="true" outlineLevel="0" collapsed="false">
      <c r="A101" s="682"/>
      <c r="B101" s="931"/>
      <c r="C101" s="931"/>
      <c r="D101" s="931"/>
      <c r="E101" s="931"/>
      <c r="F101" s="931"/>
      <c r="G101" s="931"/>
      <c r="H101" s="931"/>
      <c r="I101" s="931"/>
      <c r="J101" s="931"/>
      <c r="K101" s="931"/>
      <c r="L101" s="931"/>
      <c r="M101" s="931"/>
      <c r="N101" s="931"/>
      <c r="O101" s="931"/>
      <c r="P101" s="931"/>
      <c r="Q101" s="931"/>
      <c r="R101" s="931"/>
      <c r="S101" s="930"/>
      <c r="T101" s="930"/>
    </row>
    <row r="102" customFormat="false" ht="12.75" hidden="false" customHeight="true" outlineLevel="0" collapsed="false">
      <c r="B102" s="932" t="s">
        <v>1069</v>
      </c>
      <c r="C102" s="932"/>
      <c r="D102" s="932"/>
      <c r="E102" s="932"/>
      <c r="F102" s="932"/>
      <c r="G102" s="932"/>
      <c r="H102" s="932"/>
      <c r="I102" s="932"/>
      <c r="J102" s="932"/>
      <c r="K102" s="932"/>
      <c r="L102" s="932"/>
      <c r="M102" s="932"/>
      <c r="N102" s="932"/>
      <c r="O102" s="932"/>
      <c r="P102" s="932"/>
      <c r="Q102" s="932"/>
      <c r="R102" s="932"/>
    </row>
    <row r="103" customFormat="false" ht="12.75" hidden="false" customHeight="false" outlineLevel="0" collapsed="false">
      <c r="B103" s="932"/>
      <c r="C103" s="932"/>
      <c r="D103" s="932"/>
      <c r="E103" s="932"/>
      <c r="F103" s="932"/>
      <c r="G103" s="932"/>
      <c r="H103" s="932"/>
      <c r="I103" s="932"/>
      <c r="J103" s="932"/>
      <c r="K103" s="932"/>
      <c r="L103" s="932"/>
      <c r="M103" s="932"/>
      <c r="N103" s="932"/>
      <c r="O103" s="932"/>
      <c r="P103" s="932"/>
      <c r="Q103" s="932"/>
      <c r="R103" s="932"/>
    </row>
    <row r="104" customFormat="false" ht="12.75" hidden="false" customHeight="false" outlineLevel="0" collapsed="false">
      <c r="B104" s="932"/>
      <c r="C104" s="932"/>
      <c r="D104" s="932"/>
      <c r="E104" s="932"/>
      <c r="F104" s="932"/>
      <c r="G104" s="932"/>
      <c r="H104" s="932"/>
      <c r="I104" s="932"/>
      <c r="J104" s="932"/>
      <c r="K104" s="932"/>
      <c r="L104" s="932"/>
      <c r="M104" s="932"/>
      <c r="N104" s="932"/>
      <c r="O104" s="932"/>
      <c r="P104" s="932"/>
      <c r="Q104" s="932"/>
      <c r="R104" s="932"/>
    </row>
    <row r="106" s="933" customFormat="true" ht="15.75" hidden="false" customHeight="false" outlineLevel="0" collapsed="false">
      <c r="B106" s="934" t="s">
        <v>1070</v>
      </c>
      <c r="C106" s="934"/>
      <c r="D106" s="934"/>
      <c r="E106" s="934"/>
      <c r="F106" s="934"/>
      <c r="G106" s="934"/>
      <c r="H106" s="934"/>
      <c r="I106" s="934"/>
      <c r="J106" s="934"/>
      <c r="K106" s="934"/>
      <c r="L106" s="934"/>
      <c r="M106" s="934"/>
      <c r="N106" s="934"/>
      <c r="O106" s="934"/>
    </row>
  </sheetData>
  <sheetProtection sheet="true" formatCells="false" formatRows="false" insertColumns="false" insertRows="false" insertHyperlinks="false" deleteRows="false"/>
  <mergeCells count="84">
    <mergeCell ref="A1:R2"/>
    <mergeCell ref="A3:I3"/>
    <mergeCell ref="A4:R4"/>
    <mergeCell ref="A5:R5"/>
    <mergeCell ref="Q7:R7"/>
    <mergeCell ref="B8:I8"/>
    <mergeCell ref="J8:K8"/>
    <mergeCell ref="D11:K11"/>
    <mergeCell ref="Q11:R11"/>
    <mergeCell ref="D12:K12"/>
    <mergeCell ref="D14:K14"/>
    <mergeCell ref="D15:K15"/>
    <mergeCell ref="D20:H20"/>
    <mergeCell ref="B22:C22"/>
    <mergeCell ref="B23:R23"/>
    <mergeCell ref="B25:B27"/>
    <mergeCell ref="C25:R25"/>
    <mergeCell ref="C26:C27"/>
    <mergeCell ref="D26:D27"/>
    <mergeCell ref="E26:L26"/>
    <mergeCell ref="M26:Q26"/>
    <mergeCell ref="R26:R27"/>
    <mergeCell ref="C28:Q28"/>
    <mergeCell ref="C35:Q35"/>
    <mergeCell ref="B44:C44"/>
    <mergeCell ref="B46:R46"/>
    <mergeCell ref="B48:B50"/>
    <mergeCell ref="C48:R48"/>
    <mergeCell ref="C49:C50"/>
    <mergeCell ref="D49:D50"/>
    <mergeCell ref="E49:L49"/>
    <mergeCell ref="M49:Q49"/>
    <mergeCell ref="R49:R50"/>
    <mergeCell ref="C64:Q66"/>
    <mergeCell ref="B73:Q73"/>
    <mergeCell ref="B75:B77"/>
    <mergeCell ref="C75:C77"/>
    <mergeCell ref="D75:N75"/>
    <mergeCell ref="O75:O77"/>
    <mergeCell ref="P75:Q77"/>
    <mergeCell ref="D76:H76"/>
    <mergeCell ref="I76:I77"/>
    <mergeCell ref="J76:J77"/>
    <mergeCell ref="K76:K77"/>
    <mergeCell ref="L76:L77"/>
    <mergeCell ref="M76:M77"/>
    <mergeCell ref="N76:N77"/>
    <mergeCell ref="D78:D80"/>
    <mergeCell ref="E78:E80"/>
    <mergeCell ref="F78:F80"/>
    <mergeCell ref="G78:G80"/>
    <mergeCell ref="H78:H80"/>
    <mergeCell ref="I78:I80"/>
    <mergeCell ref="J78:J80"/>
    <mergeCell ref="K78:K80"/>
    <mergeCell ref="L78:L80"/>
    <mergeCell ref="N78:N80"/>
    <mergeCell ref="P78:Q78"/>
    <mergeCell ref="M79:M80"/>
    <mergeCell ref="P79:Q79"/>
    <mergeCell ref="P80:Q80"/>
    <mergeCell ref="P81:Q81"/>
    <mergeCell ref="P82:Q82"/>
    <mergeCell ref="B87:P87"/>
    <mergeCell ref="B89:B91"/>
    <mergeCell ref="C89:C91"/>
    <mergeCell ref="D89:M89"/>
    <mergeCell ref="N89:N91"/>
    <mergeCell ref="O89:P91"/>
    <mergeCell ref="D90:H90"/>
    <mergeCell ref="I90:I91"/>
    <mergeCell ref="J90:J91"/>
    <mergeCell ref="K90:K91"/>
    <mergeCell ref="L90:L91"/>
    <mergeCell ref="M90:M91"/>
    <mergeCell ref="O92:P92"/>
    <mergeCell ref="O93:P93"/>
    <mergeCell ref="O94:P94"/>
    <mergeCell ref="O95:P95"/>
    <mergeCell ref="B97:C97"/>
    <mergeCell ref="B99:R99"/>
    <mergeCell ref="B100:R100"/>
    <mergeCell ref="B102:R104"/>
    <mergeCell ref="B106:O106"/>
  </mergeCells>
  <hyperlinks>
    <hyperlink ref="Q7" r:id="rId1" display="Instrucciones"/>
    <hyperlink ref="Q11" r:id="rId2" display="Factores de emisión "/>
    <hyperlink ref="B99" location="'Baseline Emission Inventory (2)'!A1" display="Si se han elaborado otros inventarios, haga clic aquí para añadirlos."/>
    <hyperlink ref="B100" location="'Sustainable Energy Action Plan'!A1" display="De lo contrario, pase a la última parte de la plantilla del PAES -&gt; dedicada a su Plan de Acción para la Energía Sostenible"/>
    <hyperlink ref="B106" r:id="rId3" display="Más información: www.eumayors.eu."/>
  </hyperlinks>
  <printOptions headings="false" gridLines="false" gridLinesSet="true" horizontalCentered="true" verticalCentered="false"/>
  <pageMargins left="0.590277777777778" right="0.590277777777778" top="0.590277777777778" bottom="0.590277777777778" header="0.511805555555555" footer="0.511805555555555"/>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rowBreaks count="2" manualBreakCount="2">
    <brk id="16" man="true" max="16383" min="0"/>
    <brk id="70" man="true" max="16383" min="0"/>
  </rowBreaks>
  <drawing r:id="rId4"/>
</worksheet>
</file>

<file path=xl/worksheets/sheet3.xml><?xml version="1.0" encoding="utf-8"?>
<worksheet xmlns="http://schemas.openxmlformats.org/spreadsheetml/2006/main" xmlns:r="http://schemas.openxmlformats.org/officeDocument/2006/relationships">
  <sheetPr filterMode="false">
    <tabColor rgb="FF9BBB59"/>
    <pageSetUpPr fitToPage="false"/>
  </sheetPr>
  <dimension ref="B1:S86"/>
  <sheetViews>
    <sheetView windowProtection="false" showFormulas="false" showGridLines="true" showRowColHeaders="true" showZeros="true" rightToLeft="false" tabSelected="false" showOutlineSymbols="true" defaultGridColor="true" view="normal" topLeftCell="A7" colorId="64" zoomScale="85" zoomScaleNormal="85" zoomScalePageLayoutView="100" workbookViewId="0">
      <selection pane="topLeft" activeCell="K14" activeCellId="0" sqref="K14"/>
    </sheetView>
  </sheetViews>
  <sheetFormatPr defaultRowHeight="21.75"/>
  <cols>
    <col collapsed="false" hidden="false" max="1" min="1" style="73" width="2.56632653061224"/>
    <col collapsed="false" hidden="false" max="2" min="2" style="73" width="31.7244897959184"/>
    <col collapsed="false" hidden="false" max="3" min="3" style="73" width="29.2908163265306"/>
    <col collapsed="false" hidden="false" max="1025" min="4" style="73" width="11.2040816326531"/>
  </cols>
  <sheetData>
    <row r="1" customFormat="false" ht="21.75" hidden="false" customHeight="true" outlineLevel="0" collapsed="false">
      <c r="C1" s="74" t="s">
        <v>84</v>
      </c>
    </row>
    <row r="2" customFormat="false" ht="21.75" hidden="false" customHeight="true" outlineLevel="0" collapsed="false">
      <c r="B2" s="75" t="s">
        <v>85</v>
      </c>
      <c r="C2" s="76" t="s">
        <v>86</v>
      </c>
      <c r="D2" s="77" t="s">
        <v>87</v>
      </c>
      <c r="E2" s="77"/>
      <c r="F2" s="77"/>
      <c r="G2" s="77"/>
      <c r="H2" s="77"/>
      <c r="I2" s="77"/>
      <c r="J2" s="77"/>
      <c r="K2" s="77"/>
    </row>
    <row r="3" customFormat="false" ht="21.75" hidden="false" customHeight="true" outlineLevel="0" collapsed="false">
      <c r="B3" s="75" t="s">
        <v>88</v>
      </c>
      <c r="C3" s="76" t="s">
        <v>86</v>
      </c>
      <c r="D3" s="78" t="n">
        <v>7150</v>
      </c>
      <c r="E3" s="78"/>
      <c r="F3" s="78"/>
      <c r="G3" s="78"/>
      <c r="H3" s="78"/>
      <c r="I3" s="78"/>
      <c r="J3" s="78"/>
      <c r="K3" s="78"/>
    </row>
    <row r="4" customFormat="false" ht="21.75" hidden="false" customHeight="true" outlineLevel="0" collapsed="false">
      <c r="B4" s="75" t="s">
        <v>89</v>
      </c>
      <c r="C4" s="76" t="s">
        <v>86</v>
      </c>
      <c r="D4" s="77" t="s">
        <v>90</v>
      </c>
      <c r="E4" s="77"/>
      <c r="F4" s="77"/>
      <c r="G4" s="77"/>
      <c r="H4" s="77"/>
      <c r="I4" s="77"/>
      <c r="J4" s="77"/>
      <c r="K4" s="77"/>
    </row>
    <row r="6" s="79" customFormat="true" ht="21.75" hidden="false" customHeight="true" outlineLevel="0" collapsed="false">
      <c r="B6" s="80" t="s">
        <v>91</v>
      </c>
      <c r="C6" s="81"/>
    </row>
    <row r="7" customFormat="false" ht="21.75" hidden="false" customHeight="true" outlineLevel="0" collapsed="false">
      <c r="B7" s="82"/>
      <c r="C7" s="83"/>
    </row>
    <row r="8" customFormat="false" ht="21.75" hidden="false" customHeight="true" outlineLevel="0" collapsed="false">
      <c r="B8" s="75" t="s">
        <v>92</v>
      </c>
      <c r="C8" s="75" t="s">
        <v>86</v>
      </c>
      <c r="D8" s="84" t="n">
        <v>2005</v>
      </c>
      <c r="E8" s="84" t="n">
        <v>2006</v>
      </c>
      <c r="F8" s="84" t="n">
        <v>2007</v>
      </c>
      <c r="G8" s="84" t="n">
        <v>2008</v>
      </c>
      <c r="H8" s="84" t="n">
        <v>2009</v>
      </c>
      <c r="I8" s="84" t="n">
        <v>2010</v>
      </c>
      <c r="J8" s="84"/>
      <c r="K8" s="84"/>
      <c r="L8" s="84"/>
      <c r="M8" s="84"/>
      <c r="N8" s="84"/>
      <c r="O8" s="84"/>
      <c r="P8" s="84"/>
      <c r="Q8" s="84"/>
      <c r="R8" s="84"/>
      <c r="S8" s="84"/>
    </row>
    <row r="9" customFormat="false" ht="21.75" hidden="false" customHeight="true" outlineLevel="0" collapsed="false">
      <c r="B9" s="75" t="s">
        <v>93</v>
      </c>
      <c r="C9" s="75" t="s">
        <v>86</v>
      </c>
      <c r="D9" s="84" t="s">
        <v>65</v>
      </c>
      <c r="E9" s="84" t="s">
        <v>56</v>
      </c>
      <c r="F9" s="84" t="s">
        <v>49</v>
      </c>
      <c r="G9" s="84" t="s">
        <v>42</v>
      </c>
      <c r="H9" s="84" t="s">
        <v>94</v>
      </c>
      <c r="I9" s="84" t="s">
        <v>73</v>
      </c>
      <c r="J9" s="84"/>
      <c r="K9" s="84"/>
      <c r="L9" s="84"/>
      <c r="M9" s="84"/>
      <c r="N9" s="84"/>
      <c r="O9" s="84"/>
      <c r="P9" s="84"/>
      <c r="Q9" s="84"/>
      <c r="R9" s="84"/>
      <c r="S9" s="84"/>
    </row>
    <row r="10" customFormat="false" ht="13.5" hidden="false" customHeight="false" outlineLevel="0" collapsed="false"/>
    <row r="11" customFormat="false" ht="21.75" hidden="false" customHeight="true" outlineLevel="0" collapsed="false">
      <c r="B11" s="75" t="s">
        <v>95</v>
      </c>
      <c r="C11" s="85" t="s">
        <v>96</v>
      </c>
      <c r="D11" s="86" t="n">
        <v>9906</v>
      </c>
      <c r="E11" s="86" t="n">
        <v>10410</v>
      </c>
      <c r="F11" s="86" t="n">
        <v>10939</v>
      </c>
      <c r="G11" s="86" t="n">
        <v>11348</v>
      </c>
      <c r="H11" s="86" t="n">
        <v>11685</v>
      </c>
      <c r="I11" s="86" t="n">
        <v>11682</v>
      </c>
      <c r="J11" s="84"/>
      <c r="K11" s="84"/>
      <c r="L11" s="84"/>
      <c r="M11" s="84"/>
      <c r="N11" s="84"/>
      <c r="O11" s="84"/>
      <c r="P11" s="84"/>
      <c r="Q11" s="84"/>
      <c r="R11" s="84"/>
      <c r="S11" s="84"/>
    </row>
    <row r="12" customFormat="false" ht="21.75" hidden="false" customHeight="true" outlineLevel="0" collapsed="false">
      <c r="B12" s="75" t="s">
        <v>97</v>
      </c>
      <c r="C12" s="85" t="s">
        <v>96</v>
      </c>
      <c r="D12" s="86" t="n">
        <v>2715.318</v>
      </c>
      <c r="E12" s="86" t="n">
        <v>2841.528</v>
      </c>
      <c r="F12" s="86" t="n">
        <v>2765.802</v>
      </c>
      <c r="G12" s="86" t="n">
        <v>2539.638</v>
      </c>
      <c r="H12" s="86" t="n">
        <v>2650.68</v>
      </c>
      <c r="I12" s="86" t="n">
        <v>2517</v>
      </c>
      <c r="J12" s="84"/>
      <c r="K12" s="84"/>
      <c r="L12" s="84"/>
      <c r="M12" s="84"/>
      <c r="N12" s="84"/>
      <c r="O12" s="84"/>
      <c r="P12" s="84"/>
      <c r="Q12" s="84"/>
      <c r="R12" s="84"/>
      <c r="S12" s="84"/>
    </row>
    <row r="13" s="83" customFormat="true" ht="21.75" hidden="false" customHeight="true" outlineLevel="0" collapsed="false">
      <c r="B13" s="87" t="s">
        <v>98</v>
      </c>
      <c r="C13" s="88" t="s">
        <v>96</v>
      </c>
      <c r="D13" s="89" t="n">
        <f aca="false">ROUND(((D11*7)+((D12+D11)*5))/12,0)</f>
        <v>11037</v>
      </c>
      <c r="E13" s="89" t="n">
        <f aca="false">ROUND(((E11*7)+((E12+E11)*5))/12,0)</f>
        <v>11594</v>
      </c>
      <c r="F13" s="89" t="n">
        <f aca="false">ROUND(((F11*7)+((F12+F11)*5))/12,0)</f>
        <v>12091</v>
      </c>
      <c r="G13" s="89" t="n">
        <f aca="false">ROUND(((G11*7)+((G12+G11)*5))/12,0)</f>
        <v>12406</v>
      </c>
      <c r="H13" s="89" t="n">
        <f aca="false">ROUND(((H11*7)+((H12+H11)*5))/12,0)</f>
        <v>12789</v>
      </c>
      <c r="I13" s="89" t="n">
        <f aca="false">ROUND(((I11*7)+((I12+I11)*5))/12,0)</f>
        <v>12731</v>
      </c>
      <c r="J13" s="90"/>
      <c r="K13" s="90" t="n">
        <f aca="false">(H13-D13)/D13</f>
        <v>0.158738787714053</v>
      </c>
      <c r="L13" s="90"/>
      <c r="M13" s="90"/>
      <c r="N13" s="90"/>
      <c r="O13" s="90"/>
      <c r="P13" s="90"/>
      <c r="Q13" s="90"/>
      <c r="R13" s="90"/>
      <c r="S13" s="90"/>
    </row>
    <row r="14" customFormat="false" ht="13.5" hidden="false" customHeight="false" outlineLevel="0" collapsed="false"/>
    <row r="15" customFormat="false" ht="21.75" hidden="false" customHeight="true" outlineLevel="0" collapsed="false">
      <c r="B15" s="75" t="s">
        <v>99</v>
      </c>
      <c r="C15" s="85" t="s">
        <v>36</v>
      </c>
      <c r="D15" s="86" t="n">
        <v>777821</v>
      </c>
      <c r="E15" s="86" t="n">
        <v>790763</v>
      </c>
      <c r="F15" s="86" t="n">
        <v>814275</v>
      </c>
      <c r="G15" s="86" t="n">
        <v>846210</v>
      </c>
      <c r="H15" s="86" t="n">
        <v>862397</v>
      </c>
      <c r="I15" s="86" t="n">
        <v>869067</v>
      </c>
      <c r="J15" s="84"/>
      <c r="K15" s="84"/>
      <c r="L15" s="84"/>
      <c r="M15" s="84"/>
      <c r="N15" s="84"/>
      <c r="O15" s="84"/>
      <c r="P15" s="84"/>
      <c r="Q15" s="84"/>
      <c r="R15" s="84"/>
      <c r="S15" s="84"/>
    </row>
    <row r="16" customFormat="false" ht="13.5" hidden="false" customHeight="false" outlineLevel="0" collapsed="false"/>
    <row r="17" customFormat="false" ht="21.75" hidden="false" customHeight="true" outlineLevel="0" collapsed="false">
      <c r="B17" s="87" t="s">
        <v>100</v>
      </c>
      <c r="C17" s="88" t="s">
        <v>36</v>
      </c>
      <c r="D17" s="89" t="n">
        <v>8653</v>
      </c>
      <c r="E17" s="89" t="n">
        <v>9345</v>
      </c>
      <c r="F17" s="89" t="n">
        <v>9929</v>
      </c>
      <c r="G17" s="89" t="n">
        <v>10294</v>
      </c>
      <c r="H17" s="89" t="n">
        <v>10214</v>
      </c>
      <c r="I17" s="89" t="n">
        <v>10369</v>
      </c>
      <c r="J17" s="84"/>
      <c r="K17" s="84"/>
      <c r="L17" s="84"/>
      <c r="M17" s="84"/>
      <c r="N17" s="84"/>
      <c r="O17" s="84"/>
      <c r="P17" s="84"/>
      <c r="Q17" s="84"/>
      <c r="R17" s="84"/>
      <c r="S17" s="84"/>
    </row>
    <row r="18" customFormat="false" ht="21.75" hidden="false" customHeight="true" outlineLevel="0" collapsed="false">
      <c r="B18" s="91" t="s">
        <v>101</v>
      </c>
      <c r="C18" s="85" t="s">
        <v>36</v>
      </c>
      <c r="D18" s="86" t="n">
        <v>6520</v>
      </c>
      <c r="E18" s="86" t="n">
        <v>6987</v>
      </c>
      <c r="F18" s="86" t="n">
        <v>7395</v>
      </c>
      <c r="G18" s="86" t="n">
        <v>7625</v>
      </c>
      <c r="H18" s="86" t="n">
        <v>7491</v>
      </c>
      <c r="I18" s="86" t="n">
        <v>7572</v>
      </c>
      <c r="J18" s="84"/>
      <c r="K18" s="84"/>
      <c r="L18" s="84"/>
      <c r="M18" s="84"/>
      <c r="N18" s="84"/>
      <c r="O18" s="84"/>
      <c r="P18" s="84"/>
      <c r="Q18" s="84"/>
      <c r="R18" s="84"/>
      <c r="S18" s="84"/>
    </row>
    <row r="19" customFormat="false" ht="21.75" hidden="false" customHeight="true" outlineLevel="0" collapsed="false">
      <c r="B19" s="91" t="s">
        <v>102</v>
      </c>
      <c r="C19" s="85" t="s">
        <v>36</v>
      </c>
      <c r="D19" s="86" t="n">
        <v>775</v>
      </c>
      <c r="E19" s="86" t="n">
        <v>878</v>
      </c>
      <c r="F19" s="86" t="n">
        <v>962</v>
      </c>
      <c r="G19" s="86" t="n">
        <v>1035</v>
      </c>
      <c r="H19" s="86" t="n">
        <v>1070</v>
      </c>
      <c r="I19" s="86" t="n">
        <v>1121</v>
      </c>
      <c r="J19" s="84"/>
      <c r="K19" s="84"/>
      <c r="L19" s="84"/>
      <c r="M19" s="84"/>
      <c r="N19" s="84"/>
      <c r="O19" s="84"/>
      <c r="P19" s="84"/>
      <c r="Q19" s="84"/>
      <c r="R19" s="84"/>
      <c r="S19" s="84"/>
    </row>
    <row r="20" customFormat="false" ht="21.75" hidden="false" customHeight="true" outlineLevel="0" collapsed="false">
      <c r="B20" s="91" t="s">
        <v>103</v>
      </c>
      <c r="C20" s="85" t="s">
        <v>36</v>
      </c>
      <c r="D20" s="86" t="n">
        <v>23</v>
      </c>
      <c r="E20" s="86" t="n">
        <v>22</v>
      </c>
      <c r="F20" s="86" t="n">
        <v>22</v>
      </c>
      <c r="G20" s="86" t="n">
        <v>20</v>
      </c>
      <c r="H20" s="86" t="n">
        <v>21</v>
      </c>
      <c r="I20" s="86" t="n">
        <v>20</v>
      </c>
      <c r="J20" s="84"/>
      <c r="K20" s="84"/>
      <c r="L20" s="84"/>
      <c r="M20" s="84"/>
      <c r="N20" s="84"/>
      <c r="O20" s="84"/>
      <c r="P20" s="84"/>
      <c r="Q20" s="84"/>
      <c r="R20" s="84"/>
      <c r="S20" s="84"/>
    </row>
    <row r="21" customFormat="false" ht="21.75" hidden="false" customHeight="true" outlineLevel="0" collapsed="false">
      <c r="B21" s="91" t="s">
        <v>104</v>
      </c>
      <c r="C21" s="85" t="s">
        <v>36</v>
      </c>
      <c r="D21" s="86" t="n">
        <v>1209</v>
      </c>
      <c r="E21" s="86" t="n">
        <v>1313</v>
      </c>
      <c r="F21" s="86" t="n">
        <v>1400</v>
      </c>
      <c r="G21" s="86" t="n">
        <v>1450</v>
      </c>
      <c r="H21" s="86" t="n">
        <v>1472</v>
      </c>
      <c r="I21" s="86" t="n">
        <v>1500</v>
      </c>
      <c r="J21" s="84"/>
      <c r="K21" s="84"/>
      <c r="L21" s="84"/>
      <c r="M21" s="84"/>
      <c r="N21" s="84"/>
      <c r="O21" s="84"/>
      <c r="P21" s="84"/>
      <c r="Q21" s="84"/>
      <c r="R21" s="84"/>
      <c r="S21" s="84"/>
    </row>
    <row r="22" customFormat="false" ht="21.75" hidden="false" customHeight="true" outlineLevel="0" collapsed="false">
      <c r="B22" s="91" t="s">
        <v>105</v>
      </c>
      <c r="C22" s="85" t="s">
        <v>36</v>
      </c>
      <c r="D22" s="86" t="n">
        <v>13</v>
      </c>
      <c r="E22" s="86" t="n">
        <v>13</v>
      </c>
      <c r="F22" s="86" t="n">
        <v>12</v>
      </c>
      <c r="G22" s="86" t="n">
        <v>12</v>
      </c>
      <c r="H22" s="86" t="n">
        <v>10</v>
      </c>
      <c r="I22" s="86" t="n">
        <v>8</v>
      </c>
      <c r="J22" s="84"/>
      <c r="K22" s="84"/>
      <c r="L22" s="84"/>
      <c r="M22" s="84"/>
      <c r="N22" s="84"/>
      <c r="O22" s="84"/>
      <c r="P22" s="84"/>
      <c r="Q22" s="84"/>
      <c r="R22" s="84"/>
      <c r="S22" s="84"/>
    </row>
    <row r="23" customFormat="false" ht="21.75" hidden="false" customHeight="true" outlineLevel="0" collapsed="false">
      <c r="B23" s="91" t="s">
        <v>106</v>
      </c>
      <c r="C23" s="85" t="s">
        <v>36</v>
      </c>
      <c r="D23" s="86" t="n">
        <v>113</v>
      </c>
      <c r="E23" s="86" t="n">
        <v>132</v>
      </c>
      <c r="F23" s="86" t="n">
        <v>138</v>
      </c>
      <c r="G23" s="86" t="n">
        <v>152</v>
      </c>
      <c r="H23" s="86" t="n">
        <f aca="false">50+100</f>
        <v>150</v>
      </c>
      <c r="I23" s="86" t="n">
        <f aca="false">50+98</f>
        <v>148</v>
      </c>
      <c r="J23" s="84"/>
      <c r="K23" s="84"/>
      <c r="L23" s="84"/>
      <c r="M23" s="84"/>
      <c r="N23" s="84"/>
      <c r="O23" s="84"/>
      <c r="P23" s="84"/>
      <c r="Q23" s="84"/>
      <c r="R23" s="84"/>
      <c r="S23" s="84"/>
    </row>
    <row r="24" customFormat="false" ht="21.75" hidden="false" customHeight="true" outlineLevel="0" collapsed="false">
      <c r="B24" s="87" t="s">
        <v>107</v>
      </c>
      <c r="C24" s="88" t="s">
        <v>36</v>
      </c>
      <c r="D24" s="89" t="n">
        <v>634994</v>
      </c>
      <c r="E24" s="89" t="n">
        <v>658578</v>
      </c>
      <c r="F24" s="89" t="n">
        <v>686917</v>
      </c>
      <c r="G24" s="89" t="n">
        <v>696710</v>
      </c>
      <c r="H24" s="89" t="n">
        <v>691621</v>
      </c>
      <c r="I24" s="89" t="n">
        <v>696601</v>
      </c>
      <c r="J24" s="84"/>
      <c r="K24" s="84"/>
      <c r="L24" s="84"/>
      <c r="M24" s="84"/>
      <c r="N24" s="84"/>
      <c r="O24" s="84"/>
      <c r="P24" s="84"/>
      <c r="Q24" s="84"/>
      <c r="R24" s="84"/>
      <c r="S24" s="84"/>
    </row>
    <row r="25" customFormat="false" ht="21.75" hidden="false" customHeight="true" outlineLevel="0" collapsed="false">
      <c r="B25" s="91" t="s">
        <v>101</v>
      </c>
      <c r="C25" s="85" t="s">
        <v>36</v>
      </c>
      <c r="D25" s="86" t="n">
        <v>484335</v>
      </c>
      <c r="E25" s="86" t="n">
        <v>497056</v>
      </c>
      <c r="F25" s="86" t="n">
        <v>515947</v>
      </c>
      <c r="G25" s="86" t="n">
        <v>520205</v>
      </c>
      <c r="H25" s="86" t="n">
        <v>513811</v>
      </c>
      <c r="I25" s="86" t="n">
        <v>516641</v>
      </c>
      <c r="J25" s="84"/>
      <c r="K25" s="84"/>
      <c r="L25" s="84"/>
      <c r="M25" s="84"/>
      <c r="N25" s="84"/>
      <c r="O25" s="84"/>
      <c r="P25" s="84"/>
      <c r="Q25" s="84"/>
      <c r="R25" s="84"/>
      <c r="S25" s="84"/>
    </row>
    <row r="26" customFormat="false" ht="21.75" hidden="false" customHeight="true" outlineLevel="0" collapsed="false">
      <c r="B26" s="91" t="s">
        <v>102</v>
      </c>
      <c r="C26" s="85" t="s">
        <v>36</v>
      </c>
      <c r="D26" s="86" t="n">
        <v>53291</v>
      </c>
      <c r="E26" s="86" t="n">
        <v>57713</v>
      </c>
      <c r="F26" s="86" t="n">
        <v>62389</v>
      </c>
      <c r="G26" s="86" t="n">
        <v>66035</v>
      </c>
      <c r="H26" s="86" t="n">
        <v>68181</v>
      </c>
      <c r="I26" s="86" t="n">
        <v>70603</v>
      </c>
      <c r="J26" s="84"/>
      <c r="K26" s="84"/>
      <c r="L26" s="84"/>
      <c r="M26" s="84"/>
      <c r="N26" s="84"/>
      <c r="O26" s="84"/>
      <c r="P26" s="84"/>
      <c r="Q26" s="84"/>
      <c r="R26" s="84"/>
      <c r="S26" s="84"/>
    </row>
    <row r="27" customFormat="false" ht="21.75" hidden="false" customHeight="true" outlineLevel="0" collapsed="false">
      <c r="B27" s="91" t="s">
        <v>103</v>
      </c>
      <c r="C27" s="85" t="s">
        <v>36</v>
      </c>
      <c r="D27" s="86" t="n">
        <v>1605</v>
      </c>
      <c r="E27" s="86" t="n">
        <v>1589</v>
      </c>
      <c r="F27" s="86" t="n">
        <v>1624</v>
      </c>
      <c r="G27" s="86" t="n">
        <v>1733</v>
      </c>
      <c r="H27" s="86" t="n">
        <v>1744</v>
      </c>
      <c r="I27" s="86" t="n">
        <v>1694</v>
      </c>
      <c r="J27" s="84"/>
      <c r="K27" s="84"/>
      <c r="L27" s="84"/>
      <c r="M27" s="84"/>
      <c r="N27" s="84"/>
      <c r="O27" s="84"/>
      <c r="P27" s="84"/>
      <c r="Q27" s="84"/>
      <c r="R27" s="84"/>
      <c r="S27" s="84"/>
    </row>
    <row r="28" customFormat="false" ht="21.75" hidden="false" customHeight="true" outlineLevel="0" collapsed="false">
      <c r="B28" s="91" t="s">
        <v>104</v>
      </c>
      <c r="C28" s="85" t="s">
        <v>36</v>
      </c>
      <c r="D28" s="86" t="n">
        <v>84844</v>
      </c>
      <c r="E28" s="86" t="n">
        <v>89935</v>
      </c>
      <c r="F28" s="86" t="n">
        <v>93697</v>
      </c>
      <c r="G28" s="86" t="n">
        <v>95026</v>
      </c>
      <c r="H28" s="86" t="n">
        <v>94731</v>
      </c>
      <c r="I28" s="86" t="n">
        <v>94549</v>
      </c>
      <c r="J28" s="84"/>
      <c r="K28" s="84"/>
      <c r="L28" s="84"/>
      <c r="M28" s="84"/>
      <c r="N28" s="84"/>
      <c r="O28" s="84"/>
      <c r="P28" s="84"/>
      <c r="Q28" s="84"/>
      <c r="R28" s="84"/>
      <c r="S28" s="84"/>
    </row>
    <row r="29" customFormat="false" ht="21.75" hidden="false" customHeight="true" outlineLevel="0" collapsed="false">
      <c r="B29" s="91" t="s">
        <v>105</v>
      </c>
      <c r="C29" s="85" t="s">
        <v>36</v>
      </c>
      <c r="D29" s="86" t="n">
        <v>1607</v>
      </c>
      <c r="E29" s="86" t="n">
        <v>1870</v>
      </c>
      <c r="F29" s="86" t="n">
        <v>1884</v>
      </c>
      <c r="G29" s="86" t="n">
        <v>1862</v>
      </c>
      <c r="H29" s="86" t="n">
        <v>1821</v>
      </c>
      <c r="I29" s="86" t="n">
        <v>1757</v>
      </c>
      <c r="J29" s="84"/>
      <c r="K29" s="84"/>
      <c r="L29" s="84"/>
      <c r="M29" s="84"/>
      <c r="N29" s="84"/>
      <c r="O29" s="84"/>
      <c r="P29" s="84"/>
      <c r="Q29" s="84"/>
      <c r="R29" s="84"/>
      <c r="S29" s="84"/>
    </row>
    <row r="30" customFormat="false" ht="21.75" hidden="false" customHeight="true" outlineLevel="0" collapsed="false">
      <c r="B30" s="91" t="s">
        <v>106</v>
      </c>
      <c r="C30" s="85" t="s">
        <v>36</v>
      </c>
      <c r="D30" s="86" t="n">
        <v>9312</v>
      </c>
      <c r="E30" s="86" t="n">
        <v>10415</v>
      </c>
      <c r="F30" s="86" t="n">
        <v>11376</v>
      </c>
      <c r="G30" s="86" t="n">
        <v>11849</v>
      </c>
      <c r="H30" s="86" t="n">
        <f aca="false">5556+5777</f>
        <v>11333</v>
      </c>
      <c r="I30" s="86" t="n">
        <f aca="false">5507+5850</f>
        <v>11357</v>
      </c>
      <c r="J30" s="84"/>
      <c r="K30" s="84"/>
      <c r="L30" s="84"/>
      <c r="M30" s="84"/>
      <c r="N30" s="84"/>
      <c r="O30" s="84"/>
      <c r="P30" s="84"/>
      <c r="Q30" s="84"/>
      <c r="R30" s="84"/>
      <c r="S30" s="84"/>
    </row>
    <row r="31" customFormat="false" ht="21.75" hidden="false" customHeight="true" outlineLevel="0" collapsed="false">
      <c r="D31" s="92" t="n">
        <f aca="false">D32/D33</f>
        <v>0.0125904304349041</v>
      </c>
    </row>
    <row r="32" customFormat="false" ht="21.75" hidden="false" customHeight="true" outlineLevel="0" collapsed="false">
      <c r="B32" s="75" t="s">
        <v>108</v>
      </c>
      <c r="C32" s="85" t="s">
        <v>109</v>
      </c>
      <c r="D32" s="86" t="n">
        <v>3606</v>
      </c>
      <c r="E32" s="86" t="n">
        <v>3606</v>
      </c>
      <c r="F32" s="86" t="n">
        <v>3606</v>
      </c>
      <c r="G32" s="86" t="n">
        <v>3582</v>
      </c>
      <c r="H32" s="86" t="n">
        <v>3582</v>
      </c>
      <c r="I32" s="86" t="n">
        <v>3616</v>
      </c>
      <c r="J32" s="84"/>
      <c r="K32" s="84"/>
      <c r="L32" s="84"/>
      <c r="M32" s="84"/>
      <c r="N32" s="84"/>
      <c r="O32" s="84"/>
      <c r="P32" s="84"/>
      <c r="Q32" s="84"/>
      <c r="R32" s="84"/>
      <c r="S32" s="84"/>
    </row>
    <row r="33" customFormat="false" ht="21.75" hidden="false" customHeight="true" outlineLevel="0" collapsed="false">
      <c r="B33" s="75" t="s">
        <v>110</v>
      </c>
      <c r="C33" s="85" t="s">
        <v>36</v>
      </c>
      <c r="D33" s="86" t="n">
        <v>286408</v>
      </c>
      <c r="E33" s="86" t="n">
        <v>286231</v>
      </c>
      <c r="F33" s="86" t="n">
        <v>287438</v>
      </c>
      <c r="G33" s="86" t="n">
        <v>285370</v>
      </c>
      <c r="H33" s="86" t="n">
        <v>285065</v>
      </c>
      <c r="I33" s="93" t="n">
        <v>286618</v>
      </c>
      <c r="J33" s="84"/>
      <c r="K33" s="84"/>
      <c r="L33" s="84"/>
      <c r="M33" s="84"/>
      <c r="N33" s="84"/>
      <c r="O33" s="84"/>
      <c r="P33" s="84"/>
      <c r="Q33" s="84"/>
      <c r="R33" s="84"/>
      <c r="S33" s="84"/>
    </row>
    <row r="34" customFormat="false" ht="21.75" hidden="false" customHeight="true" outlineLevel="0" collapsed="false">
      <c r="B34" s="75" t="s">
        <v>111</v>
      </c>
      <c r="C34" s="85" t="s">
        <v>109</v>
      </c>
      <c r="D34" s="86" t="n">
        <v>19</v>
      </c>
      <c r="E34" s="86" t="n">
        <v>19</v>
      </c>
      <c r="F34" s="86" t="n">
        <v>19</v>
      </c>
      <c r="G34" s="86" t="n">
        <v>19</v>
      </c>
      <c r="H34" s="86" t="n">
        <v>19</v>
      </c>
      <c r="I34" s="86" t="n">
        <v>20</v>
      </c>
      <c r="J34" s="84"/>
      <c r="K34" s="84"/>
      <c r="L34" s="84"/>
      <c r="M34" s="84"/>
      <c r="N34" s="84"/>
      <c r="O34" s="84"/>
      <c r="P34" s="84"/>
      <c r="Q34" s="84"/>
      <c r="R34" s="84"/>
      <c r="S34" s="84"/>
    </row>
    <row r="35" customFormat="false" ht="21.75" hidden="false" customHeight="true" outlineLevel="0" collapsed="false">
      <c r="B35" s="75" t="s">
        <v>112</v>
      </c>
      <c r="C35" s="85" t="s">
        <v>36</v>
      </c>
      <c r="D35" s="86" t="n">
        <v>1596</v>
      </c>
      <c r="E35" s="86" t="n">
        <v>1604</v>
      </c>
      <c r="F35" s="86" t="n">
        <v>1603</v>
      </c>
      <c r="G35" s="86" t="n">
        <v>1587</v>
      </c>
      <c r="H35" s="86" t="n">
        <v>1592</v>
      </c>
      <c r="I35" s="93" t="n">
        <v>1614</v>
      </c>
      <c r="J35" s="84"/>
      <c r="K35" s="84"/>
      <c r="L35" s="84"/>
      <c r="M35" s="84"/>
      <c r="N35" s="84"/>
      <c r="O35" s="84"/>
      <c r="P35" s="84"/>
      <c r="Q35" s="84"/>
      <c r="R35" s="84"/>
      <c r="S35" s="84"/>
    </row>
    <row r="36" customFormat="false" ht="21.75" hidden="false" customHeight="true" outlineLevel="0" collapsed="false">
      <c r="D36" s="92"/>
    </row>
    <row r="37" s="94" customFormat="true" ht="21.75" hidden="false" customHeight="true" outlineLevel="0" collapsed="false">
      <c r="B37" s="80" t="s">
        <v>113</v>
      </c>
      <c r="C37" s="80"/>
      <c r="D37" s="95" t="n">
        <v>2005</v>
      </c>
      <c r="E37" s="95" t="n">
        <v>2006</v>
      </c>
      <c r="F37" s="95" t="n">
        <v>2007</v>
      </c>
      <c r="G37" s="95" t="n">
        <f aca="false">F37+1</f>
        <v>2008</v>
      </c>
      <c r="H37" s="95" t="n">
        <f aca="false">G37+1</f>
        <v>2009</v>
      </c>
      <c r="I37" s="95" t="n">
        <f aca="false">H37+1</f>
        <v>2010</v>
      </c>
      <c r="J37" s="95"/>
      <c r="K37" s="95"/>
      <c r="L37" s="95"/>
      <c r="M37" s="95"/>
      <c r="N37" s="95"/>
      <c r="O37" s="95"/>
      <c r="P37" s="95"/>
      <c r="Q37" s="95"/>
      <c r="R37" s="95"/>
      <c r="S37" s="95"/>
    </row>
    <row r="38" customFormat="false" ht="21.75" hidden="false" customHeight="true" outlineLevel="0" collapsed="false">
      <c r="B38" s="73" t="s">
        <v>114</v>
      </c>
    </row>
    <row r="39" customFormat="false" ht="21.75" hidden="false" customHeight="true" outlineLevel="0" collapsed="false">
      <c r="B39" s="96" t="s">
        <v>41</v>
      </c>
      <c r="C39" s="85" t="s">
        <v>115</v>
      </c>
      <c r="D39" s="84" t="n">
        <v>0.8438</v>
      </c>
      <c r="E39" s="84" t="n">
        <v>0.9084</v>
      </c>
      <c r="F39" s="84" t="n">
        <v>0.8211</v>
      </c>
      <c r="G39" s="84" t="n">
        <v>0.8272</v>
      </c>
      <c r="H39" s="84" t="n">
        <v>0.8481</v>
      </c>
      <c r="I39" s="97" t="n">
        <f aca="false">H39</f>
        <v>0.8481</v>
      </c>
      <c r="J39" s="84"/>
      <c r="K39" s="84"/>
      <c r="L39" s="84"/>
      <c r="M39" s="84"/>
      <c r="N39" s="84"/>
      <c r="O39" s="84"/>
      <c r="P39" s="84"/>
      <c r="Q39" s="84"/>
      <c r="R39" s="84"/>
      <c r="S39" s="84"/>
    </row>
    <row r="40" customFormat="false" ht="21.75" hidden="false" customHeight="true" outlineLevel="0" collapsed="false">
      <c r="B40" s="96" t="s">
        <v>116</v>
      </c>
      <c r="C40" s="85" t="s">
        <v>115</v>
      </c>
      <c r="D40" s="84" t="n">
        <v>0.202</v>
      </c>
      <c r="E40" s="84" t="n">
        <v>0.202</v>
      </c>
      <c r="F40" s="84" t="n">
        <v>0.202</v>
      </c>
      <c r="G40" s="84" t="n">
        <v>0.202</v>
      </c>
      <c r="H40" s="84" t="n">
        <v>0.202</v>
      </c>
      <c r="I40" s="84" t="n">
        <v>0.202</v>
      </c>
      <c r="J40" s="84"/>
      <c r="K40" s="84"/>
      <c r="L40" s="84"/>
      <c r="M40" s="84"/>
      <c r="N40" s="84"/>
      <c r="O40" s="84"/>
      <c r="P40" s="84"/>
      <c r="Q40" s="84"/>
      <c r="R40" s="84"/>
      <c r="S40" s="84"/>
    </row>
    <row r="41" customFormat="false" ht="21.75" hidden="false" customHeight="true" outlineLevel="0" collapsed="false">
      <c r="B41" s="96" t="s">
        <v>53</v>
      </c>
      <c r="C41" s="85" t="s">
        <v>115</v>
      </c>
      <c r="D41" s="84" t="n">
        <v>0.227</v>
      </c>
      <c r="E41" s="84" t="n">
        <v>0.227</v>
      </c>
      <c r="F41" s="84" t="n">
        <v>0.227</v>
      </c>
      <c r="G41" s="84" t="n">
        <v>0.227</v>
      </c>
      <c r="H41" s="84" t="n">
        <v>0.227</v>
      </c>
      <c r="I41" s="84" t="n">
        <v>0.227</v>
      </c>
      <c r="J41" s="84"/>
      <c r="K41" s="84"/>
      <c r="L41" s="84"/>
      <c r="M41" s="84"/>
      <c r="N41" s="84"/>
      <c r="O41" s="84"/>
      <c r="P41" s="84"/>
      <c r="Q41" s="84"/>
      <c r="R41" s="84"/>
      <c r="S41" s="84"/>
    </row>
    <row r="42" customFormat="false" ht="21.75" hidden="false" customHeight="true" outlineLevel="0" collapsed="false">
      <c r="B42" s="96" t="s">
        <v>117</v>
      </c>
      <c r="C42" s="85" t="s">
        <v>115</v>
      </c>
      <c r="D42" s="84" t="n">
        <v>0.267</v>
      </c>
      <c r="E42" s="84" t="n">
        <v>0.267</v>
      </c>
      <c r="F42" s="84" t="n">
        <v>0.267</v>
      </c>
      <c r="G42" s="84" t="n">
        <v>0.267</v>
      </c>
      <c r="H42" s="84" t="n">
        <v>0.267</v>
      </c>
      <c r="I42" s="84" t="n">
        <v>0.267</v>
      </c>
      <c r="J42" s="84"/>
      <c r="K42" s="84"/>
      <c r="L42" s="84"/>
      <c r="M42" s="84"/>
      <c r="N42" s="84"/>
      <c r="O42" s="84"/>
      <c r="P42" s="84"/>
      <c r="Q42" s="84"/>
      <c r="R42" s="84"/>
      <c r="S42" s="84"/>
    </row>
    <row r="43" customFormat="false" ht="21.75" hidden="false" customHeight="true" outlineLevel="0" collapsed="false">
      <c r="B43" s="96" t="s">
        <v>118</v>
      </c>
      <c r="C43" s="85" t="s">
        <v>115</v>
      </c>
      <c r="D43" s="84" t="n">
        <v>0.249</v>
      </c>
      <c r="E43" s="84" t="n">
        <v>0.249</v>
      </c>
      <c r="F43" s="84" t="n">
        <v>0.249</v>
      </c>
      <c r="G43" s="84" t="n">
        <v>0.249</v>
      </c>
      <c r="H43" s="84" t="n">
        <v>0.249</v>
      </c>
      <c r="I43" s="84" t="n">
        <v>0.249</v>
      </c>
      <c r="J43" s="84"/>
      <c r="K43" s="84"/>
      <c r="L43" s="84"/>
      <c r="M43" s="84"/>
      <c r="N43" s="84"/>
      <c r="O43" s="84"/>
      <c r="P43" s="84"/>
      <c r="Q43" s="84"/>
      <c r="R43" s="84"/>
      <c r="S43" s="84"/>
    </row>
    <row r="44" customFormat="false" ht="21.75" hidden="false" customHeight="true" outlineLevel="0" collapsed="false">
      <c r="B44" s="96" t="s">
        <v>119</v>
      </c>
      <c r="C44" s="85" t="s">
        <v>115</v>
      </c>
      <c r="D44" s="84" t="n">
        <v>0.279</v>
      </c>
      <c r="E44" s="84" t="n">
        <v>0.279</v>
      </c>
      <c r="F44" s="84" t="n">
        <v>0.279</v>
      </c>
      <c r="G44" s="84" t="n">
        <v>0.279</v>
      </c>
      <c r="H44" s="84" t="n">
        <v>0.279</v>
      </c>
      <c r="I44" s="84" t="n">
        <v>0.279</v>
      </c>
      <c r="J44" s="84"/>
      <c r="K44" s="84"/>
      <c r="L44" s="84"/>
      <c r="M44" s="84"/>
      <c r="N44" s="84"/>
      <c r="O44" s="84"/>
      <c r="P44" s="84"/>
      <c r="Q44" s="84"/>
      <c r="R44" s="84"/>
      <c r="S44" s="84"/>
    </row>
    <row r="45" customFormat="false" ht="21.75" hidden="false" customHeight="true" outlineLevel="0" collapsed="false">
      <c r="B45" s="83" t="s">
        <v>120</v>
      </c>
      <c r="C45" s="83"/>
    </row>
    <row r="46" customFormat="false" ht="27" hidden="false" customHeight="false" outlineLevel="0" collapsed="false">
      <c r="B46" s="96" t="s">
        <v>121</v>
      </c>
      <c r="C46" s="85" t="s">
        <v>122</v>
      </c>
      <c r="D46" s="84" t="n">
        <v>1.241</v>
      </c>
      <c r="E46" s="84" t="n">
        <v>1.241</v>
      </c>
      <c r="F46" s="84" t="n">
        <v>1.241</v>
      </c>
      <c r="G46" s="84" t="n">
        <v>1.241</v>
      </c>
      <c r="H46" s="84" t="n">
        <v>1.241</v>
      </c>
      <c r="I46" s="84" t="n">
        <v>1.241</v>
      </c>
      <c r="J46" s="84"/>
      <c r="K46" s="84"/>
      <c r="L46" s="84"/>
      <c r="M46" s="84"/>
      <c r="N46" s="84"/>
      <c r="O46" s="84"/>
      <c r="P46" s="84"/>
      <c r="Q46" s="84"/>
      <c r="R46" s="84"/>
      <c r="S46" s="84"/>
    </row>
    <row r="47" customFormat="false" ht="27" hidden="false" customHeight="false" outlineLevel="0" collapsed="false">
      <c r="B47" s="96" t="s">
        <v>123</v>
      </c>
      <c r="C47" s="85" t="s">
        <v>122</v>
      </c>
      <c r="D47" s="84" t="n">
        <v>0.745</v>
      </c>
      <c r="E47" s="84" t="n">
        <v>0.745</v>
      </c>
      <c r="F47" s="84" t="n">
        <v>0.745</v>
      </c>
      <c r="G47" s="84" t="n">
        <v>0.745</v>
      </c>
      <c r="H47" s="84" t="n">
        <v>0.745</v>
      </c>
      <c r="I47" s="84" t="n">
        <v>0.745</v>
      </c>
      <c r="J47" s="84"/>
      <c r="K47" s="84"/>
      <c r="L47" s="84"/>
      <c r="M47" s="84"/>
      <c r="N47" s="84"/>
      <c r="O47" s="84"/>
      <c r="P47" s="84"/>
      <c r="Q47" s="84"/>
      <c r="R47" s="84"/>
      <c r="S47" s="84"/>
    </row>
    <row r="48" customFormat="false" ht="27" hidden="false" customHeight="false" outlineLevel="0" collapsed="false">
      <c r="B48" s="96" t="s">
        <v>124</v>
      </c>
      <c r="C48" s="85" t="s">
        <v>122</v>
      </c>
      <c r="D48" s="84" t="n">
        <v>1.069</v>
      </c>
      <c r="E48" s="84" t="n">
        <v>1.069</v>
      </c>
      <c r="F48" s="84" t="n">
        <v>1.069</v>
      </c>
      <c r="G48" s="84" t="n">
        <v>1.069</v>
      </c>
      <c r="H48" s="84" t="n">
        <v>1.069</v>
      </c>
      <c r="I48" s="84" t="n">
        <v>1.069</v>
      </c>
      <c r="J48" s="84"/>
      <c r="K48" s="84"/>
      <c r="L48" s="84"/>
      <c r="M48" s="84"/>
      <c r="N48" s="84"/>
      <c r="O48" s="84"/>
      <c r="P48" s="84"/>
      <c r="Q48" s="84"/>
      <c r="R48" s="84"/>
      <c r="S48" s="84"/>
    </row>
    <row r="49" customFormat="false" ht="27" hidden="false" customHeight="false" outlineLevel="0" collapsed="false">
      <c r="B49" s="96" t="s">
        <v>125</v>
      </c>
      <c r="C49" s="85" t="s">
        <v>122</v>
      </c>
      <c r="D49" s="84" t="n">
        <v>0.32</v>
      </c>
      <c r="E49" s="84" t="n">
        <v>0.32</v>
      </c>
      <c r="F49" s="84" t="n">
        <v>0.32</v>
      </c>
      <c r="G49" s="84" t="n">
        <v>0.32</v>
      </c>
      <c r="H49" s="84" t="n">
        <v>0.32</v>
      </c>
      <c r="I49" s="84" t="n">
        <v>0.32</v>
      </c>
      <c r="J49" s="84"/>
      <c r="K49" s="84"/>
      <c r="L49" s="84"/>
      <c r="M49" s="84"/>
      <c r="N49" s="84"/>
      <c r="O49" s="84"/>
      <c r="P49" s="84"/>
      <c r="Q49" s="84"/>
      <c r="R49" s="84"/>
      <c r="S49" s="84"/>
    </row>
    <row r="50" customFormat="false" ht="27" hidden="false" customHeight="false" outlineLevel="0" collapsed="false">
      <c r="B50" s="96" t="s">
        <v>126</v>
      </c>
      <c r="C50" s="85" t="s">
        <v>122</v>
      </c>
      <c r="D50" s="84" t="n">
        <v>-0.265</v>
      </c>
      <c r="E50" s="84" t="n">
        <v>-0.265</v>
      </c>
      <c r="F50" s="84" t="n">
        <v>-0.265</v>
      </c>
      <c r="G50" s="84" t="n">
        <v>-0.265</v>
      </c>
      <c r="H50" s="84" t="n">
        <v>-0.265</v>
      </c>
      <c r="I50" s="84" t="n">
        <v>-0.265</v>
      </c>
      <c r="J50" s="84"/>
      <c r="K50" s="84"/>
      <c r="L50" s="84"/>
      <c r="M50" s="84"/>
      <c r="N50" s="84"/>
      <c r="O50" s="84"/>
      <c r="P50" s="84"/>
      <c r="Q50" s="84"/>
      <c r="R50" s="84"/>
      <c r="S50" s="84"/>
    </row>
    <row r="51" customFormat="false" ht="27" hidden="false" customHeight="false" outlineLevel="0" collapsed="false">
      <c r="B51" s="96" t="s">
        <v>127</v>
      </c>
      <c r="C51" s="85" t="s">
        <v>122</v>
      </c>
      <c r="D51" s="84" t="n">
        <v>-0.668</v>
      </c>
      <c r="E51" s="84" t="n">
        <v>-0.668</v>
      </c>
      <c r="F51" s="84" t="n">
        <v>-0.668</v>
      </c>
      <c r="G51" s="84" t="n">
        <v>-0.668</v>
      </c>
      <c r="H51" s="84" t="n">
        <v>-0.668</v>
      </c>
      <c r="I51" s="84" t="n">
        <v>-0.668</v>
      </c>
      <c r="J51" s="84"/>
      <c r="K51" s="84"/>
      <c r="L51" s="84"/>
      <c r="M51" s="84"/>
      <c r="N51" s="84"/>
      <c r="O51" s="84"/>
      <c r="P51" s="84"/>
      <c r="Q51" s="84"/>
      <c r="R51" s="84"/>
      <c r="S51" s="84"/>
    </row>
    <row r="52" customFormat="false" ht="27" hidden="false" customHeight="false" outlineLevel="0" collapsed="false">
      <c r="B52" s="96" t="s">
        <v>128</v>
      </c>
      <c r="C52" s="85" t="s">
        <v>122</v>
      </c>
      <c r="D52" s="84" t="n">
        <v>-2.103</v>
      </c>
      <c r="E52" s="84" t="n">
        <v>-2.103</v>
      </c>
      <c r="F52" s="84" t="n">
        <v>-2.103</v>
      </c>
      <c r="G52" s="84" t="n">
        <v>-2.103</v>
      </c>
      <c r="H52" s="84" t="n">
        <v>-2.103</v>
      </c>
      <c r="I52" s="84" t="n">
        <v>-2.103</v>
      </c>
      <c r="J52" s="84"/>
      <c r="K52" s="84"/>
      <c r="L52" s="84"/>
      <c r="M52" s="84"/>
      <c r="N52" s="84"/>
      <c r="O52" s="84"/>
      <c r="P52" s="84"/>
      <c r="Q52" s="84"/>
      <c r="R52" s="84"/>
      <c r="S52" s="84"/>
    </row>
    <row r="53" customFormat="false" ht="27" hidden="false" customHeight="false" outlineLevel="0" collapsed="false">
      <c r="B53" s="96" t="s">
        <v>129</v>
      </c>
      <c r="C53" s="85" t="s">
        <v>122</v>
      </c>
      <c r="D53" s="84" t="n">
        <v>-1.236</v>
      </c>
      <c r="E53" s="84" t="n">
        <v>-1.236</v>
      </c>
      <c r="F53" s="84" t="n">
        <v>-1.236</v>
      </c>
      <c r="G53" s="84" t="n">
        <v>-1.236</v>
      </c>
      <c r="H53" s="84" t="n">
        <v>-1.236</v>
      </c>
      <c r="I53" s="84" t="n">
        <v>-1.236</v>
      </c>
      <c r="J53" s="84"/>
      <c r="K53" s="84"/>
      <c r="L53" s="84"/>
      <c r="M53" s="84"/>
      <c r="N53" s="84"/>
      <c r="O53" s="84"/>
      <c r="P53" s="84"/>
      <c r="Q53" s="84"/>
      <c r="R53" s="84"/>
      <c r="S53" s="84"/>
    </row>
    <row r="54" customFormat="false" ht="27" hidden="false" customHeight="false" outlineLevel="0" collapsed="false">
      <c r="B54" s="96" t="s">
        <v>130</v>
      </c>
      <c r="C54" s="85" t="s">
        <v>122</v>
      </c>
      <c r="D54" s="84" t="n">
        <v>-1.202</v>
      </c>
      <c r="E54" s="84" t="n">
        <v>-1.202</v>
      </c>
      <c r="F54" s="84" t="n">
        <v>-1.202</v>
      </c>
      <c r="G54" s="84" t="n">
        <v>-1.202</v>
      </c>
      <c r="H54" s="84" t="n">
        <v>-1.202</v>
      </c>
      <c r="I54" s="84" t="n">
        <v>-1.202</v>
      </c>
      <c r="J54" s="84"/>
      <c r="K54" s="84"/>
      <c r="L54" s="84"/>
      <c r="M54" s="84"/>
      <c r="N54" s="84"/>
      <c r="O54" s="84"/>
      <c r="P54" s="84"/>
      <c r="Q54" s="84"/>
      <c r="R54" s="84"/>
      <c r="S54" s="84"/>
    </row>
    <row r="55" customFormat="false" ht="27" hidden="false" customHeight="false" outlineLevel="0" collapsed="false">
      <c r="B55" s="96" t="s">
        <v>131</v>
      </c>
      <c r="C55" s="85" t="s">
        <v>122</v>
      </c>
      <c r="D55" s="84" t="n">
        <v>0.008</v>
      </c>
      <c r="E55" s="84" t="n">
        <v>0.008</v>
      </c>
      <c r="F55" s="84" t="n">
        <v>0.008</v>
      </c>
      <c r="G55" s="84" t="n">
        <v>0.008</v>
      </c>
      <c r="H55" s="84" t="n">
        <v>0.008</v>
      </c>
      <c r="I55" s="84" t="n">
        <v>0.008</v>
      </c>
      <c r="J55" s="84"/>
      <c r="K55" s="84"/>
      <c r="L55" s="84"/>
      <c r="M55" s="84"/>
      <c r="N55" s="84"/>
      <c r="O55" s="84"/>
      <c r="P55" s="84"/>
      <c r="Q55" s="84"/>
      <c r="R55" s="84"/>
      <c r="S55" s="84"/>
    </row>
    <row r="56" customFormat="false" ht="27" hidden="false" customHeight="false" outlineLevel="0" collapsed="false">
      <c r="B56" s="96" t="s">
        <v>132</v>
      </c>
      <c r="C56" s="85" t="s">
        <v>122</v>
      </c>
      <c r="D56" s="84" t="n">
        <v>-0.616</v>
      </c>
      <c r="E56" s="84" t="n">
        <v>-0.616</v>
      </c>
      <c r="F56" s="84" t="n">
        <v>-0.616</v>
      </c>
      <c r="G56" s="84" t="n">
        <v>-0.616</v>
      </c>
      <c r="H56" s="84" t="n">
        <v>-0.616</v>
      </c>
      <c r="I56" s="84" t="n">
        <v>-0.616</v>
      </c>
      <c r="J56" s="84"/>
      <c r="K56" s="84"/>
      <c r="L56" s="84"/>
      <c r="M56" s="84"/>
      <c r="N56" s="84"/>
      <c r="O56" s="84"/>
      <c r="P56" s="84"/>
      <c r="Q56" s="84"/>
      <c r="R56" s="84"/>
      <c r="S56" s="84"/>
    </row>
    <row r="58" s="79" customFormat="true" ht="21.75" hidden="false" customHeight="true" outlineLevel="0" collapsed="false">
      <c r="B58" s="80" t="s">
        <v>133</v>
      </c>
      <c r="C58" s="81"/>
    </row>
    <row r="59" customFormat="false" ht="21.75" hidden="false" customHeight="true" outlineLevel="0" collapsed="false">
      <c r="B59" s="98"/>
      <c r="C59" s="98"/>
      <c r="D59" s="1"/>
      <c r="E59" s="1"/>
    </row>
    <row r="60" customFormat="false" ht="21.75" hidden="false" customHeight="true" outlineLevel="0" collapsed="false">
      <c r="B60" s="83" t="s">
        <v>134</v>
      </c>
      <c r="D60" s="75" t="s">
        <v>135</v>
      </c>
      <c r="E60" s="75" t="s">
        <v>136</v>
      </c>
      <c r="F60" s="75"/>
    </row>
    <row r="61" customFormat="false" ht="21.75" hidden="false" customHeight="true" outlineLevel="0" collapsed="false">
      <c r="B61" s="75" t="s">
        <v>137</v>
      </c>
      <c r="C61" s="75" t="s">
        <v>138</v>
      </c>
      <c r="D61" s="99" t="n">
        <v>1</v>
      </c>
      <c r="E61" s="99" t="n">
        <v>0.96</v>
      </c>
      <c r="F61" s="99" t="n">
        <f aca="false">11157.3/1000</f>
        <v>11.1573</v>
      </c>
      <c r="G61" s="73" t="s">
        <v>139</v>
      </c>
    </row>
    <row r="62" customFormat="false" ht="21.75" hidden="false" customHeight="true" outlineLevel="0" collapsed="false">
      <c r="B62" s="75" t="s">
        <v>41</v>
      </c>
      <c r="C62" s="75" t="s">
        <v>138</v>
      </c>
      <c r="D62" s="99" t="s">
        <v>86</v>
      </c>
      <c r="E62" s="99" t="n">
        <v>1</v>
      </c>
      <c r="F62" s="99" t="n">
        <v>11627.91</v>
      </c>
      <c r="G62" s="73" t="s">
        <v>140</v>
      </c>
    </row>
    <row r="63" customFormat="false" ht="21.75" hidden="false" customHeight="true" outlineLevel="0" collapsed="false">
      <c r="B63" s="98"/>
      <c r="C63" s="98"/>
      <c r="D63" s="1"/>
      <c r="E63" s="1"/>
    </row>
    <row r="64" customFormat="false" ht="21.75" hidden="false" customHeight="true" outlineLevel="0" collapsed="false">
      <c r="B64" s="98"/>
      <c r="C64" s="98"/>
      <c r="D64" s="75" t="s">
        <v>141</v>
      </c>
      <c r="E64" s="75" t="s">
        <v>142</v>
      </c>
      <c r="F64" s="1"/>
    </row>
    <row r="65" customFormat="false" ht="21.75" hidden="false" customHeight="true" outlineLevel="0" collapsed="false">
      <c r="B65" s="75" t="s">
        <v>143</v>
      </c>
      <c r="C65" s="75"/>
      <c r="D65" s="99" t="n">
        <v>1</v>
      </c>
      <c r="E65" s="100" t="n">
        <v>10.123</v>
      </c>
    </row>
    <row r="66" customFormat="false" ht="21.75" hidden="false" customHeight="true" outlineLevel="0" collapsed="false">
      <c r="B66" s="75" t="s">
        <v>144</v>
      </c>
      <c r="C66" s="75"/>
      <c r="D66" s="99" t="n">
        <v>1</v>
      </c>
      <c r="E66" s="100" t="n">
        <v>10.179</v>
      </c>
    </row>
    <row r="67" customFormat="false" ht="21.75" hidden="false" customHeight="true" outlineLevel="0" collapsed="false">
      <c r="B67" s="75" t="s">
        <v>145</v>
      </c>
      <c r="C67" s="75"/>
      <c r="D67" s="99" t="n">
        <v>1</v>
      </c>
      <c r="E67" s="100" t="n">
        <v>10.1279</v>
      </c>
    </row>
    <row r="68" customFormat="false" ht="21.75" hidden="false" customHeight="true" outlineLevel="0" collapsed="false">
      <c r="B68" s="75" t="s">
        <v>118</v>
      </c>
      <c r="C68" s="75"/>
      <c r="D68" s="99" t="n">
        <v>1</v>
      </c>
      <c r="E68" s="100" t="n">
        <v>9.321</v>
      </c>
    </row>
    <row r="69" customFormat="false" ht="21.75" hidden="false" customHeight="true" outlineLevel="0" collapsed="false">
      <c r="B69" s="83" t="s">
        <v>146</v>
      </c>
    </row>
    <row r="70" customFormat="false" ht="21.75" hidden="false" customHeight="true" outlineLevel="0" collapsed="false">
      <c r="B70" s="75" t="s">
        <v>147</v>
      </c>
      <c r="C70" s="75" t="s">
        <v>148</v>
      </c>
      <c r="D70" s="101" t="n">
        <v>9.85</v>
      </c>
      <c r="E70" s="73" t="s">
        <v>142</v>
      </c>
    </row>
    <row r="71" customFormat="false" ht="21.75" hidden="false" customHeight="true" outlineLevel="0" collapsed="false">
      <c r="B71" s="75" t="s">
        <v>149</v>
      </c>
      <c r="C71" s="75" t="s">
        <v>148</v>
      </c>
      <c r="D71" s="101" t="n">
        <v>1.163</v>
      </c>
      <c r="E71" s="73" t="s">
        <v>142</v>
      </c>
    </row>
    <row r="72" customFormat="false" ht="21.75" hidden="false" customHeight="true" outlineLevel="0" collapsed="false">
      <c r="B72" s="75" t="s">
        <v>150</v>
      </c>
      <c r="C72" s="75" t="s">
        <v>148</v>
      </c>
      <c r="D72" s="101" t="n">
        <v>12.72</v>
      </c>
      <c r="E72" s="73" t="s">
        <v>142</v>
      </c>
    </row>
    <row r="73" customFormat="false" ht="21.75" hidden="false" customHeight="true" outlineLevel="0" collapsed="false">
      <c r="B73" s="75" t="s">
        <v>151</v>
      </c>
      <c r="C73" s="75" t="s">
        <v>148</v>
      </c>
      <c r="D73" s="101" t="n">
        <v>6.24</v>
      </c>
      <c r="E73" s="73" t="s">
        <v>142</v>
      </c>
    </row>
    <row r="74" customFormat="false" ht="21.75" hidden="false" customHeight="true" outlineLevel="0" collapsed="false">
      <c r="B74" s="75" t="s">
        <v>152</v>
      </c>
      <c r="C74" s="75" t="s">
        <v>148</v>
      </c>
      <c r="D74" s="101" t="n">
        <v>1.163</v>
      </c>
      <c r="E74" s="73" t="s">
        <v>142</v>
      </c>
    </row>
    <row r="75" customFormat="false" ht="21.75" hidden="false" customHeight="true" outlineLevel="0" collapsed="false">
      <c r="B75" s="75" t="s">
        <v>153</v>
      </c>
      <c r="C75" s="75" t="s">
        <v>148</v>
      </c>
      <c r="D75" s="101" t="n">
        <v>12.72</v>
      </c>
      <c r="E75" s="73" t="s">
        <v>142</v>
      </c>
    </row>
    <row r="76" customFormat="false" ht="21.75" hidden="false" customHeight="true" outlineLevel="0" collapsed="false">
      <c r="B76" s="75" t="s">
        <v>154</v>
      </c>
      <c r="C76" s="75" t="s">
        <v>148</v>
      </c>
      <c r="D76" s="101" t="n">
        <v>12.89</v>
      </c>
      <c r="E76" s="73" t="s">
        <v>142</v>
      </c>
    </row>
    <row r="77" customFormat="false" ht="21.75" hidden="false" customHeight="true" outlineLevel="0" collapsed="false">
      <c r="B77" s="75" t="s">
        <v>155</v>
      </c>
      <c r="C77" s="75" t="s">
        <v>156</v>
      </c>
      <c r="D77" s="102" t="n">
        <f aca="false">1.13/0.086</f>
        <v>13.1395348837209</v>
      </c>
      <c r="E77" s="102" t="s">
        <v>142</v>
      </c>
    </row>
    <row r="78" customFormat="false" ht="21.75" hidden="false" customHeight="true" outlineLevel="0" collapsed="false">
      <c r="B78" s="75" t="s">
        <v>157</v>
      </c>
      <c r="C78" s="75" t="s">
        <v>148</v>
      </c>
      <c r="D78" s="101" t="n">
        <v>9.77</v>
      </c>
      <c r="E78" s="73" t="s">
        <v>142</v>
      </c>
    </row>
    <row r="79" customFormat="false" ht="21.75" hidden="false" customHeight="true" outlineLevel="0" collapsed="false">
      <c r="B79" s="75" t="s">
        <v>158</v>
      </c>
      <c r="C79" s="75" t="s">
        <v>148</v>
      </c>
      <c r="D79" s="101" t="n">
        <v>6.53</v>
      </c>
      <c r="E79" s="73" t="s">
        <v>142</v>
      </c>
    </row>
    <row r="80" customFormat="false" ht="21.75" hidden="false" customHeight="true" outlineLevel="0" collapsed="false">
      <c r="B80" s="83" t="s">
        <v>159</v>
      </c>
    </row>
    <row r="81" customFormat="false" ht="21.75" hidden="false" customHeight="true" outlineLevel="0" collapsed="false">
      <c r="B81" s="75" t="s">
        <v>160</v>
      </c>
      <c r="C81" s="75"/>
      <c r="D81" s="103"/>
    </row>
    <row r="82" customFormat="false" ht="32.25" hidden="false" customHeight="true" outlineLevel="0" collapsed="false">
      <c r="B82" s="75" t="s">
        <v>161</v>
      </c>
      <c r="C82" s="75" t="s">
        <v>138</v>
      </c>
      <c r="D82" s="103" t="n">
        <v>0.12</v>
      </c>
    </row>
    <row r="83" customFormat="false" ht="27" hidden="false" customHeight="false" outlineLevel="0" collapsed="false">
      <c r="B83" s="75" t="s">
        <v>162</v>
      </c>
      <c r="C83" s="75" t="s">
        <v>138</v>
      </c>
      <c r="D83" s="103" t="n">
        <v>0.42</v>
      </c>
    </row>
    <row r="84" customFormat="false" ht="27" hidden="false" customHeight="false" outlineLevel="0" collapsed="false">
      <c r="B84" s="75" t="s">
        <v>163</v>
      </c>
      <c r="C84" s="75" t="s">
        <v>138</v>
      </c>
      <c r="D84" s="103" t="n">
        <v>0.56</v>
      </c>
    </row>
    <row r="85" customFormat="false" ht="27" hidden="false" customHeight="false" outlineLevel="0" collapsed="false">
      <c r="B85" s="75" t="s">
        <v>164</v>
      </c>
      <c r="C85" s="75" t="s">
        <v>138</v>
      </c>
      <c r="D85" s="103" t="n">
        <v>0.57</v>
      </c>
    </row>
    <row r="86" customFormat="false" ht="27" hidden="false" customHeight="false" outlineLevel="0" collapsed="false">
      <c r="B86" s="75" t="s">
        <v>165</v>
      </c>
      <c r="C86" s="75" t="s">
        <v>138</v>
      </c>
      <c r="D86" s="103" t="n">
        <v>0.54</v>
      </c>
    </row>
  </sheetData>
  <mergeCells count="3">
    <mergeCell ref="D2:K2"/>
    <mergeCell ref="D3:K3"/>
    <mergeCell ref="D4:K4"/>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sheetPr filterMode="false">
    <tabColor rgb="FF9BBB59"/>
    <pageSetUpPr fitToPage="false"/>
  </sheetPr>
  <dimension ref="A1:P40"/>
  <sheetViews>
    <sheetView windowProtection="false" showFormulas="false" showGridLines="true" showRowColHeaders="true" showZeros="true" rightToLeft="false" tabSelected="false" showOutlineSymbols="true" defaultGridColor="true" view="normal" topLeftCell="A15" colorId="64" zoomScale="100" zoomScaleNormal="100" zoomScalePageLayoutView="100" workbookViewId="0">
      <selection pane="topLeft" activeCell="G40" activeCellId="0" sqref="G40"/>
    </sheetView>
  </sheetViews>
  <sheetFormatPr defaultRowHeight="21.75"/>
  <cols>
    <col collapsed="false" hidden="false" max="1" min="1" style="73" width="25.1071428571429"/>
    <col collapsed="false" hidden="false" max="7" min="2" style="73" width="13.0918367346939"/>
    <col collapsed="false" hidden="false" max="8" min="8" style="73" width="16.469387755102"/>
    <col collapsed="false" hidden="false" max="9" min="9" style="73" width="9.44897959183673"/>
    <col collapsed="false" hidden="false" max="10" min="10" style="73" width="16.8724489795918"/>
    <col collapsed="false" hidden="false" max="11" min="11" style="73" width="15.2551020408163"/>
    <col collapsed="false" hidden="false" max="1025" min="12" style="73" width="11.2040816326531"/>
  </cols>
  <sheetData>
    <row r="1" customFormat="false" ht="21.75" hidden="false" customHeight="true" outlineLevel="0" collapsed="false">
      <c r="A1" s="83" t="str">
        <f aca="false">'0.DADES'!D2</f>
        <v>Andratx</v>
      </c>
      <c r="H1" s="104" t="s">
        <v>166</v>
      </c>
      <c r="I1" s="105"/>
      <c r="K1" s="106"/>
    </row>
    <row r="2" customFormat="false" ht="21.75" hidden="false" customHeight="true" outlineLevel="0" collapsed="false">
      <c r="H2" s="107" t="s">
        <v>167</v>
      </c>
      <c r="I2" s="105"/>
    </row>
    <row r="3" customFormat="false" ht="25.5" hidden="false" customHeight="true" outlineLevel="0" collapsed="false">
      <c r="A3" s="75" t="s">
        <v>168</v>
      </c>
      <c r="B3" s="77" t="s">
        <v>169</v>
      </c>
      <c r="C3" s="77"/>
      <c r="D3" s="77"/>
      <c r="E3" s="77"/>
      <c r="F3" s="77"/>
      <c r="H3" s="108" t="s">
        <v>170</v>
      </c>
      <c r="I3" s="109"/>
    </row>
    <row r="4" customFormat="false" ht="21.75" hidden="false" customHeight="true" outlineLevel="0" collapsed="false">
      <c r="B4" s="110"/>
      <c r="C4" s="111"/>
      <c r="D4" s="112"/>
      <c r="E4" s="112"/>
      <c r="F4" s="112"/>
      <c r="G4" s="112"/>
      <c r="H4" s="112"/>
      <c r="I4" s="112"/>
      <c r="K4" s="73" t="s">
        <v>171</v>
      </c>
    </row>
    <row r="5" customFormat="false" ht="21.75" hidden="false" customHeight="true" outlineLevel="0" collapsed="false">
      <c r="A5" s="83" t="s">
        <v>172</v>
      </c>
      <c r="B5" s="113" t="s">
        <v>173</v>
      </c>
      <c r="K5" s="95" t="n">
        <v>2005</v>
      </c>
      <c r="L5" s="95" t="n">
        <v>2006</v>
      </c>
      <c r="M5" s="95" t="n">
        <v>2007</v>
      </c>
      <c r="N5" s="95" t="n">
        <v>2008</v>
      </c>
      <c r="O5" s="95" t="n">
        <v>2009</v>
      </c>
      <c r="P5" s="95" t="n">
        <v>2010</v>
      </c>
    </row>
    <row r="6" customFormat="false" ht="21.75" hidden="false" customHeight="true" outlineLevel="0" collapsed="false">
      <c r="A6" s="75" t="s">
        <v>31</v>
      </c>
      <c r="B6" s="95" t="n">
        <f aca="false">'0.DADES'!D8</f>
        <v>2005</v>
      </c>
      <c r="C6" s="95" t="n">
        <f aca="false">'0.DADES'!E8</f>
        <v>2006</v>
      </c>
      <c r="D6" s="95" t="n">
        <f aca="false">'0.DADES'!F8</f>
        <v>2007</v>
      </c>
      <c r="E6" s="95" t="n">
        <f aca="false">'0.DADES'!G8</f>
        <v>2008</v>
      </c>
      <c r="F6" s="95" t="n">
        <f aca="false">'0.DADES'!H8</f>
        <v>2009</v>
      </c>
      <c r="G6" s="95" t="n">
        <f aca="false">'0.DADES'!I8</f>
        <v>2010</v>
      </c>
      <c r="J6" s="114" t="s">
        <v>65</v>
      </c>
      <c r="K6" s="115" t="n">
        <f aca="false">J21*$K$12</f>
        <v>971.556252717973</v>
      </c>
      <c r="L6" s="115" t="n">
        <f aca="false">K21*$L$12</f>
        <v>1011.45382410064</v>
      </c>
      <c r="M6" s="115" t="n">
        <f aca="false">L21*$M$12</f>
        <v>844.224376625768</v>
      </c>
      <c r="N6" s="115" t="n">
        <f aca="false">M21*$N$12</f>
        <v>848.531255716752</v>
      </c>
      <c r="O6" s="115" t="n">
        <f aca="false">N21*$O$12</f>
        <v>866.73013547514</v>
      </c>
      <c r="P6" s="115" t="n">
        <f aca="false">O21*$P$12</f>
        <v>722.948958738352</v>
      </c>
    </row>
    <row r="7" customFormat="false" ht="21.75" hidden="false" customHeight="true" outlineLevel="0" collapsed="false">
      <c r="A7" s="114" t="s">
        <v>65</v>
      </c>
      <c r="B7" s="115" t="n">
        <f aca="false">K6</f>
        <v>971.556252717973</v>
      </c>
      <c r="C7" s="115" t="n">
        <f aca="false">L6</f>
        <v>1011.45382410064</v>
      </c>
      <c r="D7" s="115" t="n">
        <f aca="false">M6</f>
        <v>844.224376625768</v>
      </c>
      <c r="E7" s="115" t="n">
        <f aca="false">N6</f>
        <v>848.531255716752</v>
      </c>
      <c r="F7" s="115" t="n">
        <f aca="false">O6</f>
        <v>866.73013547514</v>
      </c>
      <c r="G7" s="115" t="n">
        <f aca="false">P6</f>
        <v>722.948958738352</v>
      </c>
      <c r="H7" s="116"/>
      <c r="I7" s="117"/>
      <c r="J7" s="114" t="s">
        <v>56</v>
      </c>
      <c r="K7" s="115" t="n">
        <f aca="false">J22*$K$12</f>
        <v>3803.70324535224</v>
      </c>
      <c r="L7" s="115" t="n">
        <f aca="false">K22*$L$12</f>
        <v>3888.11042445165</v>
      </c>
      <c r="M7" s="115" t="n">
        <f aca="false">L22*$M$12</f>
        <v>4048.68521128514</v>
      </c>
      <c r="N7" s="115" t="n">
        <f aca="false">M22*$N$12</f>
        <v>3662.50656185774</v>
      </c>
      <c r="O7" s="115" t="n">
        <f aca="false">N22*$O$12</f>
        <v>3326.1667030197</v>
      </c>
      <c r="P7" s="115" t="n">
        <f aca="false">O22*$P$12</f>
        <v>3091.51155812907</v>
      </c>
    </row>
    <row r="8" customFormat="false" ht="21.75" hidden="false" customHeight="true" outlineLevel="0" collapsed="false">
      <c r="A8" s="114" t="s">
        <v>56</v>
      </c>
      <c r="B8" s="115" t="n">
        <f aca="false">K7</f>
        <v>3803.70324535224</v>
      </c>
      <c r="C8" s="115" t="n">
        <f aca="false">L7</f>
        <v>3888.11042445165</v>
      </c>
      <c r="D8" s="115" t="n">
        <f aca="false">M7</f>
        <v>4048.68521128514</v>
      </c>
      <c r="E8" s="115" t="n">
        <f aca="false">N7</f>
        <v>3662.50656185774</v>
      </c>
      <c r="F8" s="115" t="n">
        <f aca="false">O7</f>
        <v>3326.1667030197</v>
      </c>
      <c r="G8" s="115" t="n">
        <f aca="false">P7</f>
        <v>3091.51155812907</v>
      </c>
      <c r="H8" s="116"/>
      <c r="I8" s="117"/>
      <c r="J8" s="114" t="s">
        <v>49</v>
      </c>
      <c r="K8" s="115" t="n">
        <f aca="false">J23*$K$12</f>
        <v>21953.7761302162</v>
      </c>
      <c r="L8" s="115" t="n">
        <f aca="false">K23*$L$12</f>
        <v>23007.4235517969</v>
      </c>
      <c r="M8" s="115" t="n">
        <f aca="false">L23*$M$12</f>
        <v>22424.3770780675</v>
      </c>
      <c r="N8" s="115" t="n">
        <f aca="false">M23*$N$12</f>
        <v>22595.4976204899</v>
      </c>
      <c r="O8" s="115" t="n">
        <f aca="false">N23*$O$12</f>
        <v>23772.0497443506</v>
      </c>
      <c r="P8" s="115" t="n">
        <f aca="false">O23*$P$12</f>
        <v>21472.3399763006</v>
      </c>
    </row>
    <row r="9" customFormat="false" ht="21.75" hidden="false" customHeight="true" outlineLevel="0" collapsed="false">
      <c r="A9" s="114" t="s">
        <v>49</v>
      </c>
      <c r="B9" s="115" t="n">
        <f aca="false">K8</f>
        <v>21953.7761302162</v>
      </c>
      <c r="C9" s="115" t="n">
        <f aca="false">L8</f>
        <v>23007.4235517969</v>
      </c>
      <c r="D9" s="115" t="n">
        <f aca="false">M8</f>
        <v>22424.3770780675</v>
      </c>
      <c r="E9" s="115" t="n">
        <f aca="false">N8</f>
        <v>22595.4976204899</v>
      </c>
      <c r="F9" s="115" t="n">
        <f aca="false">O8</f>
        <v>23772.0497443506</v>
      </c>
      <c r="G9" s="115" t="n">
        <f aca="false">P8</f>
        <v>21472.3399763006</v>
      </c>
      <c r="H9" s="116"/>
      <c r="I9" s="117"/>
      <c r="J9" s="114" t="s">
        <v>42</v>
      </c>
      <c r="K9" s="118"/>
      <c r="L9" s="118"/>
      <c r="M9" s="118"/>
      <c r="N9" s="118"/>
      <c r="O9" s="118"/>
      <c r="P9" s="118"/>
    </row>
    <row r="10" customFormat="false" ht="21.75" hidden="false" customHeight="true" outlineLevel="0" collapsed="false">
      <c r="A10" s="114" t="s">
        <v>42</v>
      </c>
      <c r="B10" s="119" t="n">
        <f aca="false">43823513/1000</f>
        <v>43823.513</v>
      </c>
      <c r="C10" s="119" t="n">
        <f aca="false">44975886/1000</f>
        <v>44975.886</v>
      </c>
      <c r="D10" s="119" t="n">
        <f aca="false">47164873/1000</f>
        <v>47164.873</v>
      </c>
      <c r="E10" s="119" t="n">
        <f aca="false">47462390/1000</f>
        <v>47462.39</v>
      </c>
      <c r="F10" s="119" t="n">
        <f aca="false">46024755/1000</f>
        <v>46024.755</v>
      </c>
      <c r="G10" s="119" t="n">
        <f aca="false">51014006/1000</f>
        <v>51014.006</v>
      </c>
      <c r="H10" s="120"/>
      <c r="I10" s="117"/>
      <c r="J10" s="114" t="s">
        <v>44</v>
      </c>
      <c r="K10" s="118"/>
      <c r="L10" s="118"/>
      <c r="M10" s="118"/>
      <c r="N10" s="118"/>
      <c r="O10" s="118"/>
      <c r="P10" s="118"/>
    </row>
    <row r="11" customFormat="false" ht="21.75" hidden="false" customHeight="true" outlineLevel="0" collapsed="false">
      <c r="A11" s="114" t="s">
        <v>44</v>
      </c>
      <c r="B11" s="118"/>
      <c r="C11" s="118"/>
      <c r="D11" s="118"/>
      <c r="E11" s="118"/>
      <c r="F11" s="118"/>
      <c r="G11" s="118"/>
      <c r="H11" s="116"/>
      <c r="I11" s="117"/>
      <c r="J11" s="114" t="s">
        <v>174</v>
      </c>
      <c r="K11" s="115" t="n">
        <f aca="false">J26*$K$12</f>
        <v>7073.45137171356</v>
      </c>
      <c r="L11" s="115" t="n">
        <f aca="false">K26*$L$12</f>
        <v>7461.12619965077</v>
      </c>
      <c r="M11" s="115" t="n">
        <f aca="false">L26*$M$12</f>
        <v>7401.84033402156</v>
      </c>
      <c r="N11" s="115" t="n">
        <f aca="false">M26*$N$12</f>
        <v>6770.07456193562</v>
      </c>
      <c r="O11" s="115" t="n">
        <f aca="false">N26*$O$12</f>
        <v>7145.2984171546</v>
      </c>
      <c r="P11" s="115" t="n">
        <f aca="false">O26*$P$12</f>
        <v>6347.29450683194</v>
      </c>
    </row>
    <row r="12" customFormat="false" ht="21.75" hidden="false" customHeight="true" outlineLevel="0" collapsed="false">
      <c r="A12" s="114" t="s">
        <v>174</v>
      </c>
      <c r="B12" s="115" t="n">
        <f aca="false">K11</f>
        <v>7073.45137171356</v>
      </c>
      <c r="C12" s="115" t="n">
        <f aca="false">L11</f>
        <v>7461.12619965077</v>
      </c>
      <c r="D12" s="115" t="n">
        <f aca="false">M11</f>
        <v>7401.84033402156</v>
      </c>
      <c r="E12" s="115" t="n">
        <f aca="false">N11</f>
        <v>6770.07456193562</v>
      </c>
      <c r="F12" s="115" t="n">
        <f aca="false">O11</f>
        <v>7145.2984171546</v>
      </c>
      <c r="G12" s="115" t="n">
        <f aca="false">P11</f>
        <v>6347.29450683194</v>
      </c>
      <c r="H12" s="116"/>
      <c r="I12" s="117"/>
      <c r="J12" s="121" t="s">
        <v>175</v>
      </c>
      <c r="K12" s="115" t="n">
        <f aca="false">B13-B10</f>
        <v>33802.487</v>
      </c>
      <c r="L12" s="115" t="n">
        <f aca="false">C13-C10</f>
        <v>35368.114</v>
      </c>
      <c r="M12" s="115" t="n">
        <f aca="false">D13-D10</f>
        <v>34719.127</v>
      </c>
      <c r="N12" s="115" t="n">
        <f aca="false">E13-E10</f>
        <v>33876.61</v>
      </c>
      <c r="O12" s="115" t="n">
        <f aca="false">F13-F10</f>
        <v>35110.245</v>
      </c>
      <c r="P12" s="115" t="n">
        <f aca="false">G13-G10</f>
        <v>31634.095</v>
      </c>
    </row>
    <row r="13" customFormat="false" ht="21.75" hidden="false" customHeight="true" outlineLevel="0" collapsed="false">
      <c r="A13" s="121" t="s">
        <v>176</v>
      </c>
      <c r="B13" s="119" t="n">
        <v>77626</v>
      </c>
      <c r="C13" s="119" t="n">
        <v>80344</v>
      </c>
      <c r="D13" s="119" t="n">
        <v>81884</v>
      </c>
      <c r="E13" s="119" t="n">
        <v>81339</v>
      </c>
      <c r="F13" s="119" t="n">
        <v>81135</v>
      </c>
      <c r="G13" s="119" t="n">
        <v>82648.101</v>
      </c>
      <c r="H13" s="116"/>
      <c r="I13" s="117"/>
    </row>
    <row r="14" customFormat="false" ht="21.75" hidden="false" customHeight="true" outlineLevel="0" collapsed="false">
      <c r="A14" s="121" t="s">
        <v>177</v>
      </c>
      <c r="B14" s="115" t="n">
        <f aca="false">B9+B10+B11+B12</f>
        <v>72850.7405019298</v>
      </c>
      <c r="C14" s="115" t="n">
        <f aca="false">C9+C10+C11+C12</f>
        <v>75444.4357514477</v>
      </c>
      <c r="D14" s="115" t="n">
        <f aca="false">D9+D10+D11+D12</f>
        <v>76991.0904120891</v>
      </c>
      <c r="E14" s="115" t="n">
        <f aca="false">E9+E10+E11+E12</f>
        <v>76827.9621824255</v>
      </c>
      <c r="F14" s="115" t="n">
        <f aca="false">F9+F10+F11+F12</f>
        <v>76942.1031615051</v>
      </c>
      <c r="G14" s="115" t="n">
        <f aca="false">G9+G10+G11+G12</f>
        <v>78833.6404831326</v>
      </c>
      <c r="H14" s="116"/>
    </row>
    <row r="15" customFormat="false" ht="21.75" hidden="false" customHeight="true" outlineLevel="0" collapsed="false">
      <c r="B15" s="122"/>
      <c r="C15" s="122"/>
      <c r="D15" s="122"/>
      <c r="E15" s="122"/>
      <c r="F15" s="122"/>
    </row>
    <row r="16" customFormat="false" ht="21.75" hidden="false" customHeight="true" outlineLevel="0" collapsed="false">
      <c r="A16" s="114" t="s">
        <v>178</v>
      </c>
      <c r="B16" s="115" t="n">
        <f aca="false">SUM(B7:B12)</f>
        <v>77626</v>
      </c>
      <c r="C16" s="115" t="n">
        <f aca="false">SUM(C7:C12)</f>
        <v>80344</v>
      </c>
      <c r="D16" s="115" t="n">
        <f aca="false">SUM(D7:D12)</f>
        <v>81884</v>
      </c>
      <c r="E16" s="115" t="n">
        <f aca="false">SUM(E7:E12)</f>
        <v>81339</v>
      </c>
      <c r="F16" s="115" t="n">
        <f aca="false">SUM(F7:F12)</f>
        <v>81135</v>
      </c>
      <c r="G16" s="115" t="n">
        <f aca="false">SUM(G7:G12)</f>
        <v>82648.101</v>
      </c>
    </row>
    <row r="17" customFormat="false" ht="21.75" hidden="false" customHeight="true" outlineLevel="0" collapsed="false">
      <c r="A17" s="114" t="s">
        <v>179</v>
      </c>
      <c r="B17" s="115" t="str">
        <f aca="false">IF(B16=B13,"OK","ERROR")</f>
        <v>OK</v>
      </c>
      <c r="C17" s="115" t="str">
        <f aca="false">IF(C16=C13,"OK","ERROR")</f>
        <v>OK</v>
      </c>
      <c r="D17" s="115" t="str">
        <f aca="false">IF(D16=D13,"OK","ERROR")</f>
        <v>OK</v>
      </c>
      <c r="E17" s="115" t="str">
        <f aca="false">IF(E16=E13,"OK","ERROR")</f>
        <v>OK</v>
      </c>
      <c r="F17" s="115" t="str">
        <f aca="false">IF(F16=F13,"OK","ERROR")</f>
        <v>OK</v>
      </c>
      <c r="G17" s="115" t="str">
        <f aca="false">IF(G16=G13,"OK","ERROR")</f>
        <v>OK</v>
      </c>
    </row>
    <row r="18" customFormat="false" ht="21.75" hidden="false" customHeight="true" outlineLevel="0" collapsed="false">
      <c r="A18" s="73" t="s">
        <v>180</v>
      </c>
    </row>
    <row r="19" customFormat="false" ht="21.75" hidden="false" customHeight="true" outlineLevel="0" collapsed="false">
      <c r="A19" s="83" t="s">
        <v>181</v>
      </c>
      <c r="B19" s="113" t="s">
        <v>173</v>
      </c>
      <c r="J19" s="73" t="s">
        <v>182</v>
      </c>
    </row>
    <row r="20" customFormat="false" ht="21.75" hidden="false" customHeight="true" outlineLevel="0" collapsed="false">
      <c r="A20" s="75" t="s">
        <v>31</v>
      </c>
      <c r="B20" s="95" t="n">
        <f aca="false">'0.DADES'!D37</f>
        <v>2005</v>
      </c>
      <c r="C20" s="95" t="n">
        <f aca="false">'0.DADES'!E37</f>
        <v>2006</v>
      </c>
      <c r="D20" s="95" t="n">
        <f aca="false">'0.DADES'!F37</f>
        <v>2007</v>
      </c>
      <c r="E20" s="95" t="n">
        <f aca="false">'0.DADES'!G37</f>
        <v>2008</v>
      </c>
      <c r="F20" s="95" t="n">
        <f aca="false">'0.DADES'!H37</f>
        <v>2009</v>
      </c>
      <c r="G20" s="95" t="n">
        <f aca="false">'0.DADES'!I37</f>
        <v>2010</v>
      </c>
      <c r="J20" s="95" t="n">
        <f aca="false">'0.DADES'!D37</f>
        <v>2005</v>
      </c>
      <c r="K20" s="95" t="n">
        <f aca="false">'0.DADES'!E37</f>
        <v>2006</v>
      </c>
      <c r="L20" s="95" t="n">
        <f aca="false">'0.DADES'!F37</f>
        <v>2007</v>
      </c>
      <c r="M20" s="95" t="n">
        <f aca="false">'0.DADES'!G37</f>
        <v>2008</v>
      </c>
      <c r="N20" s="95" t="n">
        <f aca="false">'0.DADES'!H37</f>
        <v>2009</v>
      </c>
      <c r="O20" s="95" t="n">
        <f aca="false">'0.DADES'!I37</f>
        <v>2010</v>
      </c>
    </row>
    <row r="21" customFormat="false" ht="21.75" hidden="false" customHeight="true" outlineLevel="0" collapsed="false">
      <c r="A21" s="114" t="s">
        <v>65</v>
      </c>
      <c r="B21" s="123" t="n">
        <f aca="false">6181*'0.DADES'!F62/1000</f>
        <v>71872.11171</v>
      </c>
      <c r="C21" s="123" t="n">
        <f aca="false">6420*'0.DADES'!F62/1000</f>
        <v>74651.1822</v>
      </c>
      <c r="D21" s="123" t="n">
        <f aca="false">5547*'0.DADES'!F62/1000</f>
        <v>64500.01677</v>
      </c>
      <c r="E21" s="123" t="n">
        <f aca="false">5789*'0.DADES'!F62/1000</f>
        <v>67313.97099</v>
      </c>
      <c r="F21" s="123" t="n">
        <f aca="false">5308*'0.DADES'!F62/1000</f>
        <v>61720.94628</v>
      </c>
      <c r="G21" s="124" t="n">
        <f aca="false">FORECAST($G$20,B21:F21,$B$20:$F$20)</f>
        <v>59719.7829689998</v>
      </c>
      <c r="J21" s="125" t="n">
        <f aca="false">B21/$B$27</f>
        <v>0.0287421529876773</v>
      </c>
      <c r="K21" s="125" t="n">
        <f aca="false">C21/$C$27</f>
        <v>0.0285979010387898</v>
      </c>
      <c r="L21" s="125" t="n">
        <f aca="false">D21/$D$27</f>
        <v>0.0243158296182323</v>
      </c>
      <c r="M21" s="125" t="n">
        <f aca="false">E21/$E$27</f>
        <v>0.0250477026986098</v>
      </c>
      <c r="N21" s="125" t="n">
        <f aca="false">F21/$F$27</f>
        <v>0.024685960906144</v>
      </c>
      <c r="O21" s="125" t="n">
        <f aca="false">G21/$G$27</f>
        <v>0.0228534737199959</v>
      </c>
      <c r="P21" s="122"/>
    </row>
    <row r="22" customFormat="false" ht="21.75" hidden="false" customHeight="true" outlineLevel="0" collapsed="false">
      <c r="A22" s="114" t="s">
        <v>56</v>
      </c>
      <c r="B22" s="123" t="n">
        <f aca="false">24199*'0.DADES'!F62/1000</f>
        <v>281383.79409</v>
      </c>
      <c r="C22" s="123" t="n">
        <f aca="false">24679*'0.DADES'!F62/1000</f>
        <v>286965.19089</v>
      </c>
      <c r="D22" s="123" t="n">
        <f aca="false">26602*'0.DADES'!F62/1000</f>
        <v>309325.66182</v>
      </c>
      <c r="E22" s="123" t="n">
        <f aca="false">24987*'0.DADES'!F62/1000</f>
        <v>290546.58717</v>
      </c>
      <c r="F22" s="123" t="n">
        <f aca="false">20370*'0.DADES'!F62/1000</f>
        <v>236860.5267</v>
      </c>
      <c r="G22" s="124" t="n">
        <f aca="false">FORECAST($G$20,B22:F22,$B$20:$F$20)</f>
        <v>255376.810583998</v>
      </c>
      <c r="J22" s="125" t="n">
        <f aca="false">B22/$B$27</f>
        <v>0.112527319228087</v>
      </c>
      <c r="K22" s="125" t="n">
        <f aca="false">C22/$C$27</f>
        <v>0.109932647934002</v>
      </c>
      <c r="L22" s="125" t="n">
        <f aca="false">D22/$D$27</f>
        <v>0.116612529205735</v>
      </c>
      <c r="M22" s="125" t="n">
        <f aca="false">E22/$E$27</f>
        <v>0.108113136522744</v>
      </c>
      <c r="N22" s="125" t="n">
        <f aca="false">F22/$F$27</f>
        <v>0.0947349328670223</v>
      </c>
      <c r="O22" s="125" t="n">
        <f aca="false">G22/$G$27</f>
        <v>0.0977272009244794</v>
      </c>
      <c r="P22" s="122"/>
    </row>
    <row r="23" customFormat="false" ht="21.75" hidden="false" customHeight="true" outlineLevel="0" collapsed="false">
      <c r="A23" s="114" t="s">
        <v>49</v>
      </c>
      <c r="B23" s="123" t="n">
        <f aca="false">139669*'0.DADES'!F62/1000</f>
        <v>1624058.56179</v>
      </c>
      <c r="C23" s="123" t="n">
        <f aca="false">146035*'0.DADES'!F62/1000</f>
        <v>1698081.83685</v>
      </c>
      <c r="D23" s="123" t="n">
        <f aca="false">147340*'0.DADES'!F62/1000</f>
        <v>1713256.2594</v>
      </c>
      <c r="E23" s="123" t="n">
        <f aca="false">(200343*'0.DADES'!F62/1000)-E26</f>
        <v>1792500.46605</v>
      </c>
      <c r="F23" s="123" t="n">
        <f aca="false">145584*'0.DADES'!F62/1000</f>
        <v>1692837.64944</v>
      </c>
      <c r="G23" s="124" t="n">
        <f aca="false">FORECAST($G$20,B23:F23,$B$20:$F$20)</f>
        <v>1773739.996056</v>
      </c>
      <c r="J23" s="125" t="n">
        <f aca="false">B23/$B$27</f>
        <v>0.649472215763776</v>
      </c>
      <c r="K23" s="125" t="n">
        <f aca="false">C23/$C$27</f>
        <v>0.650513158598079</v>
      </c>
      <c r="L23" s="125" t="n">
        <f aca="false">D23/$D$27</f>
        <v>0.64587963510913</v>
      </c>
      <c r="M23" s="125" t="n">
        <f aca="false">E23/$E$27</f>
        <v>0.666994059337398</v>
      </c>
      <c r="N23" s="125" t="n">
        <f aca="false">F23/$F$27</f>
        <v>0.67706875142428</v>
      </c>
      <c r="O23" s="125" t="n">
        <f aca="false">G23/$G$27</f>
        <v>0.678772064644196</v>
      </c>
      <c r="P23" s="122"/>
    </row>
    <row r="24" customFormat="false" ht="21.75" hidden="false" customHeight="true" outlineLevel="0" collapsed="false">
      <c r="A24" s="114" t="s">
        <v>42</v>
      </c>
      <c r="B24" s="118"/>
      <c r="C24" s="118"/>
      <c r="D24" s="118"/>
      <c r="E24" s="118"/>
      <c r="F24" s="118"/>
      <c r="G24" s="118"/>
      <c r="J24" s="126"/>
      <c r="K24" s="126"/>
      <c r="L24" s="126"/>
      <c r="M24" s="126"/>
      <c r="N24" s="126"/>
      <c r="O24" s="126"/>
      <c r="P24" s="122"/>
    </row>
    <row r="25" customFormat="false" ht="21.75" hidden="false" customHeight="true" outlineLevel="0" collapsed="false">
      <c r="A25" s="114" t="s">
        <v>44</v>
      </c>
      <c r="B25" s="118"/>
      <c r="C25" s="118"/>
      <c r="D25" s="118"/>
      <c r="E25" s="118"/>
      <c r="F25" s="118"/>
      <c r="G25" s="118"/>
      <c r="J25" s="126"/>
      <c r="K25" s="126"/>
      <c r="L25" s="126"/>
      <c r="M25" s="126"/>
      <c r="N25" s="126"/>
      <c r="O25" s="126" t="n">
        <f aca="false">G25/$G$27</f>
        <v>0</v>
      </c>
      <c r="P25" s="122"/>
    </row>
    <row r="26" customFormat="false" ht="21.75" hidden="false" customHeight="true" outlineLevel="0" collapsed="false">
      <c r="A26" s="114" t="s">
        <v>174</v>
      </c>
      <c r="B26" s="123" t="n">
        <f aca="false">45001*'0.DADES'!F62/1000</f>
        <v>523267.57791</v>
      </c>
      <c r="C26" s="123" t="n">
        <f aca="false">47358*'0.DADES'!F62/1000</f>
        <v>550674.56178</v>
      </c>
      <c r="D26" s="123" t="n">
        <f aca="false">48634*'0.DADES'!F62/1000</f>
        <v>565511.77494</v>
      </c>
      <c r="E26" s="124" t="n">
        <f aca="false">(B26+C26+D26+F26)/4</f>
        <v>537069.90708</v>
      </c>
      <c r="F26" s="123" t="n">
        <f aca="false">43759*'0.DADES'!F62/1000</f>
        <v>508825.71369</v>
      </c>
      <c r="G26" s="124" t="n">
        <f aca="false">FORECAST($G$20,B26:F26,$B$20:$F$20)</f>
        <v>524323.392138001</v>
      </c>
      <c r="J26" s="125" t="n">
        <f aca="false">B26/$B$27</f>
        <v>0.20925831202046</v>
      </c>
      <c r="K26" s="125" t="n">
        <f aca="false">C26/$C$27</f>
        <v>0.210956292429129</v>
      </c>
      <c r="L26" s="125" t="n">
        <f aca="false">D26/$D$27</f>
        <v>0.213192006066902</v>
      </c>
      <c r="M26" s="125" t="n">
        <f aca="false">E26/$E$27</f>
        <v>0.199845101441249</v>
      </c>
      <c r="N26" s="125" t="n">
        <f aca="false">F26/$F$27</f>
        <v>0.203510354802554</v>
      </c>
      <c r="O26" s="125" t="n">
        <f aca="false">G26/$G$27</f>
        <v>0.200647260711329</v>
      </c>
      <c r="P26" s="122"/>
    </row>
    <row r="27" customFormat="false" ht="21.75" hidden="false" customHeight="true" outlineLevel="0" collapsed="false">
      <c r="A27" s="121" t="s">
        <v>175</v>
      </c>
      <c r="B27" s="115" t="n">
        <f aca="false">SUM(B21:B26)</f>
        <v>2500582.0455</v>
      </c>
      <c r="C27" s="115" t="n">
        <f aca="false">SUM(C21:C26)</f>
        <v>2610372.77172</v>
      </c>
      <c r="D27" s="115" t="n">
        <f aca="false">SUM(D21:D26)</f>
        <v>2652593.71293</v>
      </c>
      <c r="E27" s="115" t="n">
        <f aca="false">SUM(E21:E26)</f>
        <v>2687430.93129</v>
      </c>
      <c r="F27" s="115" t="n">
        <f aca="false">SUM(F21:F26)</f>
        <v>2500244.83611</v>
      </c>
      <c r="G27" s="115" t="n">
        <f aca="false">SUM(G21:G26)</f>
        <v>2613159.981747</v>
      </c>
      <c r="J27" s="125" t="n">
        <f aca="false">SUM(J21:J26)</f>
        <v>1</v>
      </c>
      <c r="K27" s="125" t="n">
        <f aca="false">SUM(K21:K26)</f>
        <v>1</v>
      </c>
      <c r="L27" s="125" t="n">
        <f aca="false">SUM(L21:L26)</f>
        <v>1</v>
      </c>
      <c r="M27" s="125" t="n">
        <f aca="false">SUM(M21:M26)</f>
        <v>1</v>
      </c>
      <c r="N27" s="125" t="n">
        <f aca="false">SUM(N21:N26)</f>
        <v>1</v>
      </c>
      <c r="O27" s="125" t="n">
        <f aca="false">SUM(O21:O26)</f>
        <v>1</v>
      </c>
    </row>
    <row r="28" customFormat="false" ht="21.75" hidden="false" customHeight="true" outlineLevel="0" collapsed="false">
      <c r="A28" s="127"/>
    </row>
    <row r="29" customFormat="false" ht="21.75" hidden="false" customHeight="true" outlineLevel="0" collapsed="false">
      <c r="A29" s="83" t="s">
        <v>183</v>
      </c>
      <c r="B29" s="113" t="s">
        <v>184</v>
      </c>
    </row>
    <row r="30" customFormat="false" ht="21.75" hidden="false" customHeight="true" outlineLevel="0" collapsed="false">
      <c r="A30" s="114" t="s">
        <v>185</v>
      </c>
      <c r="B30" s="99" t="n">
        <f aca="false">'0.DADES'!D39</f>
        <v>0.8438</v>
      </c>
      <c r="C30" s="99" t="n">
        <f aca="false">'0.DADES'!E39</f>
        <v>0.9084</v>
      </c>
      <c r="D30" s="99" t="n">
        <f aca="false">'0.DADES'!F39</f>
        <v>0.8211</v>
      </c>
      <c r="E30" s="99" t="n">
        <f aca="false">'0.DADES'!G39</f>
        <v>0.8272</v>
      </c>
      <c r="F30" s="99" t="n">
        <f aca="false">'0.DADES'!H39</f>
        <v>0.8481</v>
      </c>
      <c r="G30" s="99" t="n">
        <f aca="false">'0.DADES'!I39</f>
        <v>0.8481</v>
      </c>
    </row>
    <row r="31" customFormat="false" ht="21.75" hidden="false" customHeight="true" outlineLevel="0" collapsed="false">
      <c r="B31" s="110"/>
      <c r="C31" s="111"/>
      <c r="D31" s="112"/>
      <c r="E31" s="112"/>
      <c r="F31" s="112"/>
      <c r="G31" s="112"/>
      <c r="H31" s="112"/>
      <c r="I31" s="112"/>
    </row>
    <row r="32" customFormat="false" ht="21.75" hidden="false" customHeight="true" outlineLevel="0" collapsed="false">
      <c r="A32" s="75" t="s">
        <v>31</v>
      </c>
      <c r="B32" s="95" t="n">
        <f aca="false">B6</f>
        <v>2005</v>
      </c>
      <c r="C32" s="95" t="n">
        <f aca="false">C6</f>
        <v>2006</v>
      </c>
      <c r="D32" s="95" t="n">
        <f aca="false">D6</f>
        <v>2007</v>
      </c>
      <c r="E32" s="95" t="n">
        <f aca="false">E6</f>
        <v>2008</v>
      </c>
      <c r="F32" s="95" t="n">
        <f aca="false">F6</f>
        <v>2009</v>
      </c>
      <c r="G32" s="95" t="n">
        <f aca="false">G6</f>
        <v>2010</v>
      </c>
    </row>
    <row r="33" customFormat="false" ht="21.75" hidden="false" customHeight="true" outlineLevel="0" collapsed="false">
      <c r="A33" s="114" t="s">
        <v>65</v>
      </c>
      <c r="B33" s="115" t="n">
        <f aca="false">B7*$B$30</f>
        <v>819.799166043425</v>
      </c>
      <c r="C33" s="115" t="n">
        <f aca="false">C7*$C$30</f>
        <v>918.804653813018</v>
      </c>
      <c r="D33" s="115" t="n">
        <f aca="false">D7*$D$30</f>
        <v>693.192635647418</v>
      </c>
      <c r="E33" s="115" t="n">
        <f aca="false">E7*$E$30</f>
        <v>701.905054728897</v>
      </c>
      <c r="F33" s="115" t="n">
        <f aca="false">F7*$F$30</f>
        <v>735.073827896466</v>
      </c>
      <c r="G33" s="115" t="n">
        <f aca="false">G7*$G$30</f>
        <v>613.133011905996</v>
      </c>
    </row>
    <row r="34" customFormat="false" ht="21.75" hidden="false" customHeight="true" outlineLevel="0" collapsed="false">
      <c r="A34" s="114" t="s">
        <v>56</v>
      </c>
      <c r="B34" s="115" t="n">
        <f aca="false">B8*$B$30</f>
        <v>3209.56479842822</v>
      </c>
      <c r="C34" s="115" t="n">
        <f aca="false">C8*$C$30</f>
        <v>3531.95950957188</v>
      </c>
      <c r="D34" s="115" t="n">
        <f aca="false">D8*$D$30</f>
        <v>3324.37542698623</v>
      </c>
      <c r="E34" s="115" t="n">
        <f aca="false">E8*$E$30</f>
        <v>3029.62542796873</v>
      </c>
      <c r="F34" s="115" t="n">
        <f aca="false">F8*$F$30</f>
        <v>2820.92198083101</v>
      </c>
      <c r="G34" s="115" t="n">
        <f aca="false">G8*$G$30</f>
        <v>2621.91095244926</v>
      </c>
    </row>
    <row r="35" customFormat="false" ht="21.75" hidden="false" customHeight="true" outlineLevel="0" collapsed="false">
      <c r="A35" s="114" t="s">
        <v>49</v>
      </c>
      <c r="B35" s="115" t="n">
        <f aca="false">B9*$B$30</f>
        <v>18524.5962986765</v>
      </c>
      <c r="C35" s="115" t="n">
        <f aca="false">C9*$C$30</f>
        <v>20899.9435544523</v>
      </c>
      <c r="D35" s="115" t="n">
        <f aca="false">D9*$D$30</f>
        <v>18412.6560188013</v>
      </c>
      <c r="E35" s="115" t="n">
        <f aca="false">E9*$E$30</f>
        <v>18690.9956316692</v>
      </c>
      <c r="F35" s="115" t="n">
        <f aca="false">F9*$F$30</f>
        <v>20161.0753881837</v>
      </c>
      <c r="G35" s="115" t="n">
        <f aca="false">G9*$G$30</f>
        <v>18210.6915339006</v>
      </c>
    </row>
    <row r="36" customFormat="false" ht="21.75" hidden="false" customHeight="true" outlineLevel="0" collapsed="false">
      <c r="A36" s="114" t="s">
        <v>42</v>
      </c>
      <c r="B36" s="115" t="n">
        <f aca="false">B10*$B$30</f>
        <v>36978.2802694</v>
      </c>
      <c r="C36" s="115" t="n">
        <f aca="false">C10*$C$30</f>
        <v>40856.0948424</v>
      </c>
      <c r="D36" s="115" t="n">
        <f aca="false">D10*$D$30</f>
        <v>38727.0772203</v>
      </c>
      <c r="E36" s="115" t="n">
        <f aca="false">E10*$E$30</f>
        <v>39260.889008</v>
      </c>
      <c r="F36" s="115" t="n">
        <f aca="false">F10*$F$30</f>
        <v>39033.5947155</v>
      </c>
      <c r="G36" s="115" t="n">
        <f aca="false">G10*$G$30</f>
        <v>43264.9784886</v>
      </c>
    </row>
    <row r="37" customFormat="false" ht="21.75" hidden="false" customHeight="true" outlineLevel="0" collapsed="false">
      <c r="A37" s="114" t="s">
        <v>44</v>
      </c>
      <c r="B37" s="118"/>
      <c r="C37" s="118"/>
      <c r="D37" s="118"/>
      <c r="E37" s="118"/>
      <c r="F37" s="118"/>
      <c r="G37" s="118"/>
    </row>
    <row r="38" customFormat="false" ht="21.75" hidden="false" customHeight="true" outlineLevel="0" collapsed="false">
      <c r="A38" s="114" t="s">
        <v>174</v>
      </c>
      <c r="B38" s="115" t="n">
        <f aca="false">B12*$B$30</f>
        <v>5968.5782674519</v>
      </c>
      <c r="C38" s="115" t="n">
        <f aca="false">C12*$C$30</f>
        <v>6777.68703976276</v>
      </c>
      <c r="D38" s="115" t="n">
        <f aca="false">D12*$D$30</f>
        <v>6077.6510982651</v>
      </c>
      <c r="E38" s="115" t="n">
        <f aca="false">E12*$E$30</f>
        <v>5600.20567763315</v>
      </c>
      <c r="F38" s="115" t="n">
        <f aca="false">F12*$F$30</f>
        <v>6059.92758758882</v>
      </c>
      <c r="G38" s="115" t="n">
        <f aca="false">G12*$G$30</f>
        <v>5383.14047124417</v>
      </c>
    </row>
    <row r="39" customFormat="false" ht="21.75" hidden="false" customHeight="true" outlineLevel="0" collapsed="false">
      <c r="A39" s="121" t="s">
        <v>176</v>
      </c>
      <c r="B39" s="115" t="n">
        <f aca="false">SUM(B33:B38)</f>
        <v>65500.8188</v>
      </c>
      <c r="C39" s="115" t="n">
        <f aca="false">SUM(C33:C38)</f>
        <v>72984.4896</v>
      </c>
      <c r="D39" s="115" t="n">
        <f aca="false">SUM(D33:D38)</f>
        <v>67234.9524</v>
      </c>
      <c r="E39" s="115" t="n">
        <f aca="false">SUM(E33:E38)</f>
        <v>67283.6208</v>
      </c>
      <c r="F39" s="115" t="n">
        <f aca="false">SUM(F33:F38)</f>
        <v>68810.5935</v>
      </c>
      <c r="G39" s="115" t="n">
        <f aca="false">SUM(G33:G38)</f>
        <v>70093.8544581</v>
      </c>
    </row>
    <row r="40" customFormat="false" ht="21.75" hidden="false" customHeight="true" outlineLevel="0" collapsed="false">
      <c r="A40" s="121" t="s">
        <v>177</v>
      </c>
      <c r="B40" s="115" t="n">
        <f aca="false">B35+B36+B37+B38</f>
        <v>61471.4548355284</v>
      </c>
      <c r="C40" s="115" t="n">
        <f aca="false">C35+C36+C37+C38</f>
        <v>68533.7254366151</v>
      </c>
      <c r="D40" s="115" t="n">
        <f aca="false">D35+D36+D37+D38</f>
        <v>63217.3843373664</v>
      </c>
      <c r="E40" s="115" t="n">
        <f aca="false">E35+E36+E37+E38</f>
        <v>63552.0903173024</v>
      </c>
      <c r="F40" s="115" t="n">
        <f aca="false">F35+F36+F37+F38</f>
        <v>65254.5976912725</v>
      </c>
      <c r="G40" s="115" t="n">
        <f aca="false">G35+G36+G37+G38</f>
        <v>66858.8104937447</v>
      </c>
    </row>
  </sheetData>
  <mergeCells count="1">
    <mergeCell ref="B3:F3"/>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sheetPr filterMode="false">
    <tabColor rgb="FF9BBB59"/>
    <pageSetUpPr fitToPage="false"/>
  </sheetPr>
  <dimension ref="A1:H2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40" activeCellId="0" sqref="G40"/>
    </sheetView>
  </sheetViews>
  <sheetFormatPr defaultRowHeight="27.75"/>
  <cols>
    <col collapsed="false" hidden="false" max="1" min="1" style="73" width="26.7295918367347"/>
    <col collapsed="false" hidden="false" max="7" min="2" style="73" width="13.2295918367347"/>
    <col collapsed="false" hidden="false" max="8" min="8" style="73" width="26.0510204081633"/>
    <col collapsed="false" hidden="false" max="1025" min="9" style="73" width="11.7448979591837"/>
  </cols>
  <sheetData>
    <row r="1" customFormat="false" ht="21.75" hidden="false" customHeight="true" outlineLevel="0" collapsed="false">
      <c r="A1" s="83" t="str">
        <f aca="false">'0.DADES'!D2</f>
        <v>Andratx</v>
      </c>
      <c r="H1" s="104" t="s">
        <v>166</v>
      </c>
    </row>
    <row r="2" customFormat="false" ht="21.75" hidden="false" customHeight="true" outlineLevel="0" collapsed="false">
      <c r="H2" s="107" t="s">
        <v>167</v>
      </c>
    </row>
    <row r="3" customFormat="false" ht="25.5" hidden="false" customHeight="true" outlineLevel="0" collapsed="false">
      <c r="A3" s="75" t="s">
        <v>168</v>
      </c>
      <c r="B3" s="77" t="s">
        <v>186</v>
      </c>
      <c r="C3" s="77"/>
      <c r="D3" s="77"/>
      <c r="E3" s="77"/>
      <c r="F3" s="77"/>
      <c r="H3" s="108" t="s">
        <v>170</v>
      </c>
    </row>
    <row r="5" customFormat="false" ht="21.75" hidden="false" customHeight="true" outlineLevel="0" collapsed="false">
      <c r="A5" s="83" t="s">
        <v>172</v>
      </c>
      <c r="B5" s="113" t="s">
        <v>173</v>
      </c>
    </row>
    <row r="6" customFormat="false" ht="21.75" hidden="false" customHeight="true" outlineLevel="0" collapsed="false">
      <c r="A6" s="75" t="s">
        <v>31</v>
      </c>
      <c r="B6" s="95" t="n">
        <f aca="false">'0.DADES'!D8</f>
        <v>2005</v>
      </c>
      <c r="C6" s="95" t="n">
        <f aca="false">'0.DADES'!E8</f>
        <v>2006</v>
      </c>
      <c r="D6" s="95" t="n">
        <f aca="false">'0.DADES'!F8</f>
        <v>2007</v>
      </c>
      <c r="E6" s="95" t="n">
        <f aca="false">'0.DADES'!G8</f>
        <v>2008</v>
      </c>
      <c r="F6" s="95" t="n">
        <f aca="false">'0.DADES'!H8</f>
        <v>2009</v>
      </c>
      <c r="G6" s="95" t="n">
        <f aca="false">'0.DADES'!I8</f>
        <v>2010</v>
      </c>
    </row>
    <row r="7" customFormat="false" ht="21.75" hidden="false" customHeight="true" outlineLevel="0" collapsed="false">
      <c r="A7" s="114" t="s">
        <v>65</v>
      </c>
      <c r="B7" s="84" t="n">
        <v>0</v>
      </c>
      <c r="C7" s="84" t="n">
        <v>0</v>
      </c>
      <c r="D7" s="84" t="n">
        <v>0</v>
      </c>
      <c r="E7" s="84" t="n">
        <v>0</v>
      </c>
      <c r="F7" s="84"/>
      <c r="G7" s="84"/>
    </row>
    <row r="8" customFormat="false" ht="21.75" hidden="false" customHeight="true" outlineLevel="0" collapsed="false">
      <c r="A8" s="114" t="s">
        <v>56</v>
      </c>
      <c r="B8" s="84" t="n">
        <v>0</v>
      </c>
      <c r="C8" s="84" t="n">
        <v>0</v>
      </c>
      <c r="D8" s="84" t="n">
        <v>0</v>
      </c>
      <c r="E8" s="84" t="n">
        <v>0</v>
      </c>
      <c r="F8" s="84"/>
      <c r="G8" s="84"/>
    </row>
    <row r="9" customFormat="false" ht="21.75" hidden="false" customHeight="true" outlineLevel="0" collapsed="false">
      <c r="A9" s="114" t="s">
        <v>49</v>
      </c>
      <c r="B9" s="84" t="n">
        <v>0</v>
      </c>
      <c r="C9" s="84" t="n">
        <v>0</v>
      </c>
      <c r="D9" s="84" t="n">
        <v>0</v>
      </c>
      <c r="E9" s="84" t="n">
        <v>0</v>
      </c>
      <c r="F9" s="84"/>
      <c r="G9" s="84"/>
    </row>
    <row r="10" customFormat="false" ht="21.75" hidden="false" customHeight="true" outlineLevel="0" collapsed="false">
      <c r="A10" s="114" t="s">
        <v>42</v>
      </c>
      <c r="B10" s="84" t="n">
        <v>0</v>
      </c>
      <c r="C10" s="84" t="n">
        <v>0</v>
      </c>
      <c r="D10" s="84" t="n">
        <v>0</v>
      </c>
      <c r="E10" s="84" t="n">
        <v>0</v>
      </c>
      <c r="F10" s="84"/>
      <c r="G10" s="84"/>
    </row>
    <row r="11" customFormat="false" ht="21.75" hidden="false" customHeight="true" outlineLevel="0" collapsed="false">
      <c r="A11" s="114" t="s">
        <v>44</v>
      </c>
      <c r="B11" s="84" t="n">
        <v>0</v>
      </c>
      <c r="C11" s="84" t="n">
        <v>0</v>
      </c>
      <c r="D11" s="84" t="n">
        <v>0</v>
      </c>
      <c r="E11" s="84" t="n">
        <v>0</v>
      </c>
      <c r="F11" s="84"/>
      <c r="G11" s="84"/>
    </row>
    <row r="12" customFormat="false" ht="21.75" hidden="false" customHeight="true" outlineLevel="0" collapsed="false">
      <c r="A12" s="121" t="s">
        <v>176</v>
      </c>
      <c r="B12" s="99" t="n">
        <f aca="false">SUM(B7:B11)</f>
        <v>0</v>
      </c>
      <c r="C12" s="99" t="n">
        <f aca="false">SUM(C7:C10)</f>
        <v>0</v>
      </c>
      <c r="D12" s="99" t="n">
        <f aca="false">SUM(D7:D10)</f>
        <v>0</v>
      </c>
      <c r="E12" s="99" t="n">
        <f aca="false">SUM(E7:E10)</f>
        <v>0</v>
      </c>
      <c r="F12" s="99" t="n">
        <f aca="false">SUM(F7:F10)</f>
        <v>0</v>
      </c>
      <c r="G12" s="99" t="n">
        <f aca="false">SUM(G7:G10)</f>
        <v>0</v>
      </c>
    </row>
    <row r="13" customFormat="false" ht="21.75" hidden="false" customHeight="true" outlineLevel="0" collapsed="false">
      <c r="A13" s="121" t="s">
        <v>177</v>
      </c>
      <c r="B13" s="99" t="n">
        <f aca="false">B9+B10+B11</f>
        <v>0</v>
      </c>
      <c r="C13" s="99" t="n">
        <f aca="false">C9+C10+C11</f>
        <v>0</v>
      </c>
      <c r="D13" s="99" t="n">
        <f aca="false">D9+D10+D11</f>
        <v>0</v>
      </c>
      <c r="E13" s="99" t="n">
        <f aca="false">E9+E10+E11</f>
        <v>0</v>
      </c>
      <c r="F13" s="99" t="n">
        <f aca="false">F9+F10+F11</f>
        <v>0</v>
      </c>
      <c r="G13" s="99" t="n">
        <f aca="false">G9+G10+G11</f>
        <v>0</v>
      </c>
    </row>
    <row r="14" customFormat="false" ht="21.75" hidden="false" customHeight="true" outlineLevel="0" collapsed="false"/>
    <row r="15" customFormat="false" ht="21.75" hidden="false" customHeight="true" outlineLevel="0" collapsed="false">
      <c r="A15" s="83" t="s">
        <v>183</v>
      </c>
      <c r="B15" s="113" t="s">
        <v>184</v>
      </c>
    </row>
    <row r="16" customFormat="false" ht="21.75" hidden="false" customHeight="true" outlineLevel="0" collapsed="false">
      <c r="A16" s="114" t="s">
        <v>187</v>
      </c>
      <c r="B16" s="99" t="n">
        <f aca="false">'0.DADES'!D40</f>
        <v>0.202</v>
      </c>
      <c r="C16" s="99" t="n">
        <f aca="false">'0.DADES'!E40</f>
        <v>0.202</v>
      </c>
      <c r="D16" s="99" t="n">
        <f aca="false">'0.DADES'!F40</f>
        <v>0.202</v>
      </c>
      <c r="E16" s="99" t="n">
        <f aca="false">'0.DADES'!G40</f>
        <v>0.202</v>
      </c>
      <c r="F16" s="99" t="n">
        <f aca="false">'0.DADES'!H40</f>
        <v>0.202</v>
      </c>
      <c r="G16" s="99" t="n">
        <f aca="false">'0.DADES'!I40</f>
        <v>0.202</v>
      </c>
    </row>
    <row r="17" customFormat="false" ht="21.75" hidden="false" customHeight="true" outlineLevel="0" collapsed="false">
      <c r="A17" s="83"/>
      <c r="B17" s="113"/>
    </row>
    <row r="18" customFormat="false" ht="21.75" hidden="false" customHeight="true" outlineLevel="0" collapsed="false">
      <c r="A18" s="75" t="s">
        <v>31</v>
      </c>
      <c r="B18" s="95" t="n">
        <f aca="false">B6</f>
        <v>2005</v>
      </c>
      <c r="C18" s="95" t="n">
        <f aca="false">C6</f>
        <v>2006</v>
      </c>
      <c r="D18" s="95" t="n">
        <f aca="false">D6</f>
        <v>2007</v>
      </c>
      <c r="E18" s="95" t="n">
        <f aca="false">E6</f>
        <v>2008</v>
      </c>
      <c r="F18" s="95" t="n">
        <f aca="false">F6</f>
        <v>2009</v>
      </c>
      <c r="G18" s="95" t="n">
        <f aca="false">G6</f>
        <v>2010</v>
      </c>
    </row>
    <row r="19" customFormat="false" ht="21.75" hidden="false" customHeight="true" outlineLevel="0" collapsed="false">
      <c r="A19" s="114" t="s">
        <v>65</v>
      </c>
      <c r="B19" s="99" t="n">
        <f aca="false">B7*$B$16</f>
        <v>0</v>
      </c>
      <c r="C19" s="99" t="n">
        <f aca="false">C7*$B$16</f>
        <v>0</v>
      </c>
      <c r="D19" s="99" t="n">
        <f aca="false">D7*$B$16</f>
        <v>0</v>
      </c>
      <c r="E19" s="99" t="n">
        <f aca="false">E7*$B$16</f>
        <v>0</v>
      </c>
      <c r="F19" s="99" t="n">
        <f aca="false">F7*$B$16</f>
        <v>0</v>
      </c>
      <c r="G19" s="99" t="n">
        <f aca="false">G7*$B$16</f>
        <v>0</v>
      </c>
    </row>
    <row r="20" customFormat="false" ht="21.75" hidden="false" customHeight="true" outlineLevel="0" collapsed="false">
      <c r="A20" s="114" t="s">
        <v>56</v>
      </c>
      <c r="B20" s="99" t="n">
        <f aca="false">B8*$B$16</f>
        <v>0</v>
      </c>
      <c r="C20" s="99" t="n">
        <f aca="false">C8*$B$16</f>
        <v>0</v>
      </c>
      <c r="D20" s="99" t="n">
        <f aca="false">D8*$B$16</f>
        <v>0</v>
      </c>
      <c r="E20" s="99" t="n">
        <f aca="false">E8*$B$16</f>
        <v>0</v>
      </c>
      <c r="F20" s="99" t="n">
        <f aca="false">F8*$B$16</f>
        <v>0</v>
      </c>
      <c r="G20" s="99" t="n">
        <f aca="false">G8*$B$16</f>
        <v>0</v>
      </c>
    </row>
    <row r="21" customFormat="false" ht="21.75" hidden="false" customHeight="true" outlineLevel="0" collapsed="false">
      <c r="A21" s="114" t="s">
        <v>49</v>
      </c>
      <c r="B21" s="99" t="n">
        <f aca="false">B9*$B$16</f>
        <v>0</v>
      </c>
      <c r="C21" s="99" t="n">
        <f aca="false">C9*$B$16</f>
        <v>0</v>
      </c>
      <c r="D21" s="99" t="n">
        <f aca="false">D9*$B$16</f>
        <v>0</v>
      </c>
      <c r="E21" s="99" t="n">
        <f aca="false">E9*$B$16</f>
        <v>0</v>
      </c>
      <c r="F21" s="99" t="n">
        <f aca="false">F9*$B$16</f>
        <v>0</v>
      </c>
      <c r="G21" s="99" t="n">
        <f aca="false">G9*$B$16</f>
        <v>0</v>
      </c>
    </row>
    <row r="22" customFormat="false" ht="21.75" hidden="false" customHeight="true" outlineLevel="0" collapsed="false">
      <c r="A22" s="114" t="s">
        <v>42</v>
      </c>
      <c r="B22" s="99" t="n">
        <f aca="false">B10*$B$16</f>
        <v>0</v>
      </c>
      <c r="C22" s="99" t="n">
        <f aca="false">C10*$B$16</f>
        <v>0</v>
      </c>
      <c r="D22" s="99" t="n">
        <f aca="false">D10*$B$16</f>
        <v>0</v>
      </c>
      <c r="E22" s="99" t="n">
        <f aca="false">E10*$B$16</f>
        <v>0</v>
      </c>
      <c r="F22" s="99" t="n">
        <f aca="false">F10*$B$16</f>
        <v>0</v>
      </c>
      <c r="G22" s="99" t="n">
        <f aca="false">G10*$B$16</f>
        <v>0</v>
      </c>
    </row>
    <row r="23" customFormat="false" ht="21.75" hidden="false" customHeight="true" outlineLevel="0" collapsed="false">
      <c r="A23" s="114" t="s">
        <v>44</v>
      </c>
      <c r="B23" s="99" t="n">
        <f aca="false">B11*$B$16</f>
        <v>0</v>
      </c>
      <c r="C23" s="99" t="n">
        <f aca="false">C11*$B$16</f>
        <v>0</v>
      </c>
      <c r="D23" s="99" t="n">
        <f aca="false">D11*$B$16</f>
        <v>0</v>
      </c>
      <c r="E23" s="99" t="n">
        <f aca="false">E11*$B$16</f>
        <v>0</v>
      </c>
      <c r="F23" s="99" t="n">
        <f aca="false">F11*$B$16</f>
        <v>0</v>
      </c>
      <c r="G23" s="99" t="n">
        <f aca="false">G11*$B$16</f>
        <v>0</v>
      </c>
    </row>
    <row r="24" customFormat="false" ht="21.75" hidden="false" customHeight="true" outlineLevel="0" collapsed="false">
      <c r="A24" s="121" t="s">
        <v>176</v>
      </c>
      <c r="B24" s="99" t="n">
        <f aca="false">SUM(B19:B22)</f>
        <v>0</v>
      </c>
      <c r="C24" s="99" t="n">
        <f aca="false">SUM(C19:C22)</f>
        <v>0</v>
      </c>
      <c r="D24" s="99" t="n">
        <f aca="false">SUM(D19:D22)</f>
        <v>0</v>
      </c>
      <c r="E24" s="99" t="n">
        <f aca="false">SUM(E19:E22)</f>
        <v>0</v>
      </c>
      <c r="F24" s="99" t="n">
        <f aca="false">SUM(F19:F22)</f>
        <v>0</v>
      </c>
      <c r="G24" s="99" t="n">
        <f aca="false">SUM(G19:G22)</f>
        <v>0</v>
      </c>
    </row>
    <row r="25" customFormat="false" ht="21.75" hidden="false" customHeight="true" outlineLevel="0" collapsed="false">
      <c r="A25" s="121" t="s">
        <v>177</v>
      </c>
      <c r="B25" s="99" t="n">
        <f aca="false">B21+B22+B23</f>
        <v>0</v>
      </c>
      <c r="C25" s="99" t="n">
        <f aca="false">C21+C22+C23</f>
        <v>0</v>
      </c>
      <c r="D25" s="99" t="n">
        <f aca="false">D21+D22+D23</f>
        <v>0</v>
      </c>
      <c r="E25" s="99" t="n">
        <f aca="false">E21+E22+E23</f>
        <v>0</v>
      </c>
      <c r="F25" s="99" t="n">
        <f aca="false">F21+F22+F23</f>
        <v>0</v>
      </c>
      <c r="G25" s="99" t="n">
        <f aca="false">G21+G22+G23</f>
        <v>0</v>
      </c>
    </row>
  </sheetData>
  <mergeCells count="1">
    <mergeCell ref="B3:F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tabColor rgb="FF9BBB59"/>
    <pageSetUpPr fitToPage="false"/>
  </sheetPr>
  <dimension ref="A1:N43"/>
  <sheetViews>
    <sheetView windowProtection="false"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G40" activeCellId="0" sqref="G40"/>
    </sheetView>
  </sheetViews>
  <sheetFormatPr defaultRowHeight="29.25"/>
  <cols>
    <col collapsed="false" hidden="false" max="1" min="1" style="73" width="25.6479591836735"/>
    <col collapsed="false" hidden="false" max="7" min="2" style="73" width="14.8469387755102"/>
    <col collapsed="false" hidden="false" max="8" min="8" style="73" width="20.5204081632653"/>
    <col collapsed="false" hidden="false" max="1025" min="9" style="73" width="11.2040816326531"/>
  </cols>
  <sheetData>
    <row r="1" customFormat="false" ht="21.75" hidden="false" customHeight="true" outlineLevel="0" collapsed="false">
      <c r="A1" s="83" t="str">
        <f aca="false">'0.DADES'!D2</f>
        <v>Andratx</v>
      </c>
      <c r="H1" s="104" t="s">
        <v>166</v>
      </c>
    </row>
    <row r="2" customFormat="false" ht="21.75" hidden="false" customHeight="true" outlineLevel="0" collapsed="false">
      <c r="H2" s="107" t="s">
        <v>167</v>
      </c>
    </row>
    <row r="3" customFormat="false" ht="25.5" hidden="false" customHeight="true" outlineLevel="0" collapsed="false">
      <c r="A3" s="75" t="s">
        <v>168</v>
      </c>
      <c r="B3" s="77" t="s">
        <v>186</v>
      </c>
      <c r="C3" s="77"/>
      <c r="D3" s="77"/>
      <c r="E3" s="77"/>
      <c r="F3" s="77"/>
      <c r="H3" s="108" t="s">
        <v>170</v>
      </c>
    </row>
    <row r="4" customFormat="false" ht="27.75" hidden="false" customHeight="true" outlineLevel="0" collapsed="false">
      <c r="B4" s="128" t="n">
        <f aca="false">B19/(B20+B21)</f>
        <v>0.0473723168023686</v>
      </c>
      <c r="C4" s="128" t="n">
        <f aca="false">C19/(C20+C21)</f>
        <v>0.0472445336903168</v>
      </c>
      <c r="D4" s="128" t="n">
        <f aca="false">D19/(D20+D21)</f>
        <v>0.0488222868757722</v>
      </c>
      <c r="E4" s="128" t="n">
        <f aca="false">E19/(E20+E21)</f>
        <v>0.048702025857681</v>
      </c>
      <c r="F4" s="128" t="n">
        <f aca="false">F19/(F20+F21)</f>
        <v>0.0494633997071102</v>
      </c>
      <c r="G4" s="128" t="n">
        <f aca="false">G19/(G20+G21)</f>
        <v>0.0502946281156719</v>
      </c>
    </row>
    <row r="5" customFormat="false" ht="21.75" hidden="false" customHeight="true" outlineLevel="0" collapsed="false">
      <c r="A5" s="83" t="s">
        <v>172</v>
      </c>
      <c r="B5" s="113" t="s">
        <v>173</v>
      </c>
    </row>
    <row r="6" customFormat="false" ht="21.75" hidden="false" customHeight="true" outlineLevel="0" collapsed="false">
      <c r="A6" s="75" t="s">
        <v>31</v>
      </c>
      <c r="B6" s="95" t="n">
        <f aca="false">'0.DADES'!D8</f>
        <v>2005</v>
      </c>
      <c r="C6" s="95" t="n">
        <f aca="false">'0.DADES'!E8</f>
        <v>2006</v>
      </c>
      <c r="D6" s="95" t="n">
        <f aca="false">'0.DADES'!F8</f>
        <v>2007</v>
      </c>
      <c r="E6" s="95" t="n">
        <f aca="false">'0.DADES'!G8</f>
        <v>2008</v>
      </c>
      <c r="F6" s="95" t="n">
        <f aca="false">'0.DADES'!H8</f>
        <v>2009</v>
      </c>
      <c r="G6" s="95" t="n">
        <f aca="false">'0.DADES'!I8</f>
        <v>2010</v>
      </c>
    </row>
    <row r="7" customFormat="false" ht="21.75" hidden="false" customHeight="true" outlineLevel="0" collapsed="false">
      <c r="A7" s="114" t="s">
        <v>65</v>
      </c>
      <c r="B7" s="115" t="n">
        <v>0</v>
      </c>
      <c r="C7" s="115" t="n">
        <v>0</v>
      </c>
      <c r="D7" s="115" t="n">
        <v>0</v>
      </c>
      <c r="E7" s="115" t="n">
        <v>0</v>
      </c>
      <c r="F7" s="115" t="n">
        <v>0</v>
      </c>
      <c r="G7" s="115" t="n">
        <f aca="false">G18*N18*'0.DADES'!$D$77</f>
        <v>0</v>
      </c>
    </row>
    <row r="8" customFormat="false" ht="21.75" hidden="false" customHeight="true" outlineLevel="0" collapsed="false">
      <c r="A8" s="114" t="s">
        <v>56</v>
      </c>
      <c r="B8" s="115" t="n">
        <f aca="false">B4*(B9+B10)</f>
        <v>493.693830596128</v>
      </c>
      <c r="C8" s="115" t="n">
        <f aca="false">C4*(C9+C10)</f>
        <v>464.551091032312</v>
      </c>
      <c r="D8" s="115" t="n">
        <f aca="false">D4*(D9+D10)</f>
        <v>448.082663228898</v>
      </c>
      <c r="E8" s="115" t="n">
        <f aca="false">E4*(E9+E10)</f>
        <v>434.316074630335</v>
      </c>
      <c r="F8" s="115" t="n">
        <f aca="false">F4*(F9+F10)</f>
        <v>413.569281112564</v>
      </c>
      <c r="G8" s="115" t="n">
        <f aca="false">G4*(G9+G10)</f>
        <v>386.67336420061</v>
      </c>
      <c r="H8" s="106"/>
      <c r="I8" s="129" t="n">
        <f aca="false">B8/$B$12</f>
        <v>0.0452296819787986</v>
      </c>
    </row>
    <row r="9" customFormat="false" ht="21.75" hidden="false" customHeight="true" outlineLevel="0" collapsed="false">
      <c r="A9" s="114" t="s">
        <v>49</v>
      </c>
      <c r="B9" s="115" t="n">
        <f aca="false">(B20*I29)*'0.DADES'!D77</f>
        <v>3224.71862712682</v>
      </c>
      <c r="C9" s="115" t="n">
        <f aca="false">(C20*J29)*'0.DADES'!D77</f>
        <v>3226.7127339741</v>
      </c>
      <c r="D9" s="115" t="n">
        <f aca="false">(D20*K29)*'0.DADES'!D77</f>
        <v>3338.49626702106</v>
      </c>
      <c r="E9" s="115" t="n">
        <f aca="false">(E20*L29)*'0.DADES'!D77</f>
        <v>3234.91913965631</v>
      </c>
      <c r="F9" s="115" t="n">
        <f aca="false">(F20*M29)*'0.DADES'!D77</f>
        <v>3072.77941342631</v>
      </c>
      <c r="G9" s="115" t="n">
        <f aca="false">(G20*N29)*'0.DADES'!D77</f>
        <v>3149.63391048378</v>
      </c>
      <c r="I9" s="129" t="n">
        <f aca="false">B9/$B$12</f>
        <v>0.295432085509229</v>
      </c>
      <c r="J9" s="130" t="s">
        <v>188</v>
      </c>
    </row>
    <row r="10" customFormat="false" ht="21.75" hidden="false" customHeight="true" outlineLevel="0" collapsed="false">
      <c r="A10" s="114" t="s">
        <v>42</v>
      </c>
      <c r="B10" s="115" t="n">
        <f aca="false">(B21*I26)*'0.DADES'!D77</f>
        <v>7196.84957811331</v>
      </c>
      <c r="C10" s="115" t="n">
        <f aca="false">(C21*J26)*'0.DADES'!D77</f>
        <v>6606.19394846663</v>
      </c>
      <c r="D10" s="115" t="n">
        <f aca="false">(D21*K26)*'0.DADES'!D77</f>
        <v>5839.33402120448</v>
      </c>
      <c r="E10" s="115" t="n">
        <f aca="false">(E21*L26)*'0.DADES'!D77</f>
        <v>5682.90444122535</v>
      </c>
      <c r="F10" s="115" t="n">
        <f aca="false">(F21*M26)*'0.DADES'!D77</f>
        <v>5288.33776738717</v>
      </c>
      <c r="G10" s="115" t="n">
        <f aca="false">(G21*N26)*'0.DADES'!D77</f>
        <v>4538.53038633347</v>
      </c>
      <c r="I10" s="129" t="n">
        <f aca="false">B10/$B$12</f>
        <v>0.659338232511972</v>
      </c>
    </row>
    <row r="11" customFormat="false" ht="21.75" hidden="false" customHeight="true" outlineLevel="0" collapsed="false">
      <c r="A11" s="114" t="s">
        <v>44</v>
      </c>
      <c r="B11" s="118"/>
      <c r="C11" s="118"/>
      <c r="D11" s="118"/>
      <c r="E11" s="118"/>
      <c r="F11" s="118"/>
      <c r="G11" s="118"/>
    </row>
    <row r="12" customFormat="false" ht="21.75" hidden="false" customHeight="true" outlineLevel="0" collapsed="false">
      <c r="A12" s="121" t="s">
        <v>176</v>
      </c>
      <c r="B12" s="115" t="n">
        <f aca="false">SUM(B7:B11)</f>
        <v>10915.2620358363</v>
      </c>
      <c r="C12" s="115" t="n">
        <f aca="false">SUM(C7:C11)</f>
        <v>10297.457773473</v>
      </c>
      <c r="D12" s="115" t="n">
        <f aca="false">SUM(D7:D11)</f>
        <v>9625.91295145444</v>
      </c>
      <c r="E12" s="115" t="n">
        <f aca="false">SUM(E7:E11)</f>
        <v>9352.13965551199</v>
      </c>
      <c r="F12" s="115" t="n">
        <f aca="false">SUM(F7:F11)</f>
        <v>8774.68646192605</v>
      </c>
      <c r="G12" s="115" t="n">
        <f aca="false">SUM(G7:G11)</f>
        <v>8074.83766101786</v>
      </c>
    </row>
    <row r="13" customFormat="false" ht="21.75" hidden="false" customHeight="true" outlineLevel="0" collapsed="false">
      <c r="A13" s="121" t="s">
        <v>177</v>
      </c>
      <c r="B13" s="115" t="n">
        <f aca="false">B9+B10+B11</f>
        <v>10421.5682052401</v>
      </c>
      <c r="C13" s="115" t="n">
        <f aca="false">C9+C10+C11</f>
        <v>9832.90668244073</v>
      </c>
      <c r="D13" s="115" t="n">
        <f aca="false">D9+D10+D11</f>
        <v>9177.83028822554</v>
      </c>
      <c r="E13" s="115" t="n">
        <f aca="false">E9+E10+E11</f>
        <v>8917.82358088166</v>
      </c>
      <c r="F13" s="115" t="n">
        <f aca="false">F9+F10+F11</f>
        <v>8361.11718081349</v>
      </c>
      <c r="G13" s="115" t="n">
        <f aca="false">G9+G10+G11</f>
        <v>7688.16429681725</v>
      </c>
    </row>
    <row r="14" customFormat="false" ht="21.75" hidden="false" customHeight="true" outlineLevel="0" collapsed="false">
      <c r="A14" s="127"/>
      <c r="B14" s="131"/>
      <c r="C14" s="131"/>
      <c r="D14" s="131"/>
      <c r="E14" s="131"/>
      <c r="F14" s="131"/>
      <c r="G14" s="131"/>
    </row>
    <row r="15" customFormat="false" ht="21" hidden="false" customHeight="true" outlineLevel="0" collapsed="false">
      <c r="A15" s="73" t="s">
        <v>189</v>
      </c>
    </row>
    <row r="16" customFormat="false" ht="29.25" hidden="false" customHeight="true" outlineLevel="0" collapsed="false">
      <c r="A16" s="83" t="s">
        <v>190</v>
      </c>
      <c r="B16" s="113" t="s">
        <v>191</v>
      </c>
      <c r="I16" s="73" t="s">
        <v>192</v>
      </c>
    </row>
    <row r="17" customFormat="false" ht="29.25" hidden="false" customHeight="true" outlineLevel="0" collapsed="false">
      <c r="A17" s="75" t="s">
        <v>31</v>
      </c>
      <c r="B17" s="95" t="n">
        <f aca="false">'0.DADES'!D37</f>
        <v>2005</v>
      </c>
      <c r="C17" s="95" t="n">
        <f aca="false">'0.DADES'!E37</f>
        <v>2006</v>
      </c>
      <c r="D17" s="95" t="n">
        <f aca="false">'0.DADES'!F37</f>
        <v>2007</v>
      </c>
      <c r="E17" s="95" t="n">
        <f aca="false">'0.DADES'!G37</f>
        <v>2008</v>
      </c>
      <c r="F17" s="95" t="n">
        <f aca="false">'0.DADES'!H37</f>
        <v>2009</v>
      </c>
      <c r="G17" s="95" t="n">
        <f aca="false">'0.DADES'!I37</f>
        <v>2010</v>
      </c>
      <c r="I17" s="95" t="n">
        <f aca="false">'0.DADES'!D37</f>
        <v>2005</v>
      </c>
      <c r="J17" s="95" t="n">
        <f aca="false">'0.DADES'!E37</f>
        <v>2006</v>
      </c>
      <c r="K17" s="95" t="n">
        <f aca="false">'0.DADES'!F37</f>
        <v>2007</v>
      </c>
      <c r="L17" s="95" t="n">
        <f aca="false">'0.DADES'!G37</f>
        <v>2008</v>
      </c>
      <c r="M17" s="95" t="n">
        <f aca="false">'0.DADES'!H37</f>
        <v>2009</v>
      </c>
      <c r="N17" s="95" t="n">
        <f aca="false">'0.DADES'!I37</f>
        <v>2010</v>
      </c>
    </row>
    <row r="18" customFormat="false" ht="29.25" hidden="false" customHeight="true" outlineLevel="0" collapsed="false">
      <c r="A18" s="114" t="s">
        <v>65</v>
      </c>
      <c r="B18" s="123" t="n">
        <f aca="false">0*'0.DADES'!D77</f>
        <v>0</v>
      </c>
      <c r="C18" s="123" t="n">
        <v>0</v>
      </c>
      <c r="D18" s="123" t="n">
        <v>0</v>
      </c>
      <c r="E18" s="123" t="n">
        <v>0</v>
      </c>
      <c r="F18" s="123" t="n">
        <v>0</v>
      </c>
      <c r="G18" s="124" t="n">
        <f aca="false">FORECAST($G$17,B18:F18,$B$17:$F$17)</f>
        <v>0</v>
      </c>
      <c r="I18" s="125" t="n">
        <f aca="false">B18/$B$23</f>
        <v>0</v>
      </c>
      <c r="J18" s="125" t="n">
        <f aca="false">C18/$C$23</f>
        <v>0</v>
      </c>
      <c r="K18" s="125" t="n">
        <f aca="false">D18/$D$23</f>
        <v>0</v>
      </c>
      <c r="L18" s="125" t="n">
        <f aca="false">E18/$E$23</f>
        <v>0</v>
      </c>
      <c r="M18" s="125" t="n">
        <f aca="false">F18/$F$23</f>
        <v>0</v>
      </c>
      <c r="N18" s="125" t="n">
        <f aca="false">G18/$G$23</f>
        <v>0</v>
      </c>
    </row>
    <row r="19" customFormat="false" ht="29.25" hidden="false" customHeight="true" outlineLevel="0" collapsed="false">
      <c r="A19" s="114" t="s">
        <v>56</v>
      </c>
      <c r="B19" s="123" t="n">
        <v>2752</v>
      </c>
      <c r="C19" s="123" t="n">
        <v>2541</v>
      </c>
      <c r="D19" s="123" t="n">
        <v>2450</v>
      </c>
      <c r="E19" s="123" t="n">
        <v>2392</v>
      </c>
      <c r="F19" s="123" t="n">
        <v>2263</v>
      </c>
      <c r="G19" s="124" t="n">
        <f aca="false">FORECAST($G$17,B19:F19,$B$17:$F$17)</f>
        <v>2141.5</v>
      </c>
      <c r="I19" s="125" t="n">
        <f aca="false">B19/$B$23</f>
        <v>0.0452296819787986</v>
      </c>
      <c r="J19" s="125" t="n">
        <f aca="false">C19/$C$23</f>
        <v>0.0451131824234354</v>
      </c>
      <c r="K19" s="125" t="n">
        <f aca="false">D19/$D$23</f>
        <v>0.0465496276029792</v>
      </c>
      <c r="L19" s="125" t="n">
        <f aca="false">E19/$E$23</f>
        <v>0.0464402896693653</v>
      </c>
      <c r="M19" s="125" t="n">
        <f aca="false">F19/$F$23</f>
        <v>0.0471320864747782</v>
      </c>
      <c r="N19" s="125" t="n">
        <f aca="false">G19/$G$23</f>
        <v>0.0478862090401293</v>
      </c>
    </row>
    <row r="20" customFormat="false" ht="29.25" hidden="false" customHeight="true" outlineLevel="0" collapsed="false">
      <c r="A20" s="114" t="s">
        <v>49</v>
      </c>
      <c r="B20" s="123" t="n">
        <f aca="false">(F20+D20+E20)/3</f>
        <v>19492.6666666667</v>
      </c>
      <c r="C20" s="123" t="n">
        <f aca="false">(D20+E20+F20)/3</f>
        <v>19492.6666666667</v>
      </c>
      <c r="D20" s="123" t="n">
        <v>20253</v>
      </c>
      <c r="E20" s="123" t="n">
        <v>19614</v>
      </c>
      <c r="F20" s="123" t="n">
        <v>18611</v>
      </c>
      <c r="G20" s="124" t="n">
        <f aca="false">FORECAST($G$17,B20:F20,$B$17:$F$17)</f>
        <v>19000.0666666667</v>
      </c>
      <c r="I20" s="125" t="n">
        <f aca="false">B20/$B$23</f>
        <v>0.320365957213685</v>
      </c>
      <c r="J20" s="125" t="n">
        <f aca="false">C20/$C$23</f>
        <v>0.346074863145436</v>
      </c>
      <c r="K20" s="125" t="n">
        <f aca="false">D20/$D$23</f>
        <v>0.384803921568627</v>
      </c>
      <c r="L20" s="125" t="n">
        <f aca="false">E20/$E$23</f>
        <v>0.380802609354068</v>
      </c>
      <c r="M20" s="125" t="n">
        <f aca="false">F20/$F$23</f>
        <v>0.387616111967343</v>
      </c>
      <c r="N20" s="125" t="n">
        <f aca="false">G20/$G$23</f>
        <v>0.42486162230978</v>
      </c>
    </row>
    <row r="21" customFormat="false" ht="29.25" hidden="false" customHeight="true" outlineLevel="0" collapsed="false">
      <c r="A21" s="114" t="s">
        <v>42</v>
      </c>
      <c r="B21" s="123" t="n">
        <f aca="false">58093-B20</f>
        <v>38600.3333333333</v>
      </c>
      <c r="C21" s="123" t="n">
        <f aca="false">53784-C20</f>
        <v>34291.3333333333</v>
      </c>
      <c r="D21" s="123" t="n">
        <v>29929</v>
      </c>
      <c r="E21" s="123" t="n">
        <v>29501</v>
      </c>
      <c r="F21" s="123" t="n">
        <v>27140</v>
      </c>
      <c r="G21" s="124" t="n">
        <f aca="false">FORECAST($G$17,B21:F21,$B$17:$F$17)</f>
        <v>23579.0333333332</v>
      </c>
      <c r="I21" s="125" t="n">
        <f aca="false">B21/$B$23</f>
        <v>0.634404360807516</v>
      </c>
      <c r="J21" s="125" t="n">
        <f aca="false">C21/$C$23</f>
        <v>0.608811954431129</v>
      </c>
      <c r="K21" s="125" t="n">
        <f aca="false">D21/$D$23</f>
        <v>0.568646450828393</v>
      </c>
      <c r="L21" s="125" t="n">
        <f aca="false">E21/$E$23</f>
        <v>0.572757100976566</v>
      </c>
      <c r="M21" s="125" t="n">
        <f aca="false">F21/$F$23</f>
        <v>0.565251801557879</v>
      </c>
      <c r="N21" s="125" t="n">
        <f aca="false">G21/$G$23</f>
        <v>0.527252168650091</v>
      </c>
    </row>
    <row r="22" customFormat="false" ht="29.25" hidden="false" customHeight="true" outlineLevel="0" collapsed="false">
      <c r="A22" s="114" t="s">
        <v>44</v>
      </c>
      <c r="B22" s="118"/>
      <c r="C22" s="118"/>
      <c r="D22" s="118"/>
      <c r="E22" s="118"/>
      <c r="F22" s="118"/>
      <c r="G22" s="118"/>
      <c r="I22" s="118"/>
      <c r="J22" s="118"/>
      <c r="K22" s="118"/>
      <c r="L22" s="118"/>
      <c r="M22" s="118"/>
      <c r="N22" s="118"/>
    </row>
    <row r="23" customFormat="false" ht="29.25" hidden="false" customHeight="true" outlineLevel="0" collapsed="false">
      <c r="A23" s="121" t="s">
        <v>193</v>
      </c>
      <c r="B23" s="115" t="n">
        <f aca="false">SUM(B18:B22)</f>
        <v>60845</v>
      </c>
      <c r="C23" s="115" t="n">
        <f aca="false">SUM(C18:C22)</f>
        <v>56325</v>
      </c>
      <c r="D23" s="115" t="n">
        <f aca="false">SUM(D18:D22)</f>
        <v>52632</v>
      </c>
      <c r="E23" s="115" t="n">
        <f aca="false">SUM(E18:E22)</f>
        <v>51507</v>
      </c>
      <c r="F23" s="115" t="n">
        <f aca="false">SUM(F18:F22)</f>
        <v>48014</v>
      </c>
      <c r="G23" s="115" t="n">
        <f aca="false">SUM(G18:G21)</f>
        <v>44720.5999999999</v>
      </c>
      <c r="I23" s="125" t="n">
        <f aca="false">SUM(I18:I21)</f>
        <v>1</v>
      </c>
      <c r="J23" s="125" t="n">
        <f aca="false">SUM(J18:J21)</f>
        <v>1</v>
      </c>
      <c r="K23" s="125" t="n">
        <f aca="false">SUM(K18:K21)</f>
        <v>1</v>
      </c>
      <c r="L23" s="125" t="n">
        <f aca="false">SUM(L18:L21)</f>
        <v>1</v>
      </c>
      <c r="M23" s="125" t="n">
        <f aca="false">SUM(M18:M21)</f>
        <v>1</v>
      </c>
      <c r="N23" s="125" t="n">
        <f aca="false">SUM(N18:N21)</f>
        <v>1</v>
      </c>
    </row>
    <row r="24" customFormat="false" ht="29.25" hidden="false" customHeight="true" outlineLevel="0" collapsed="false">
      <c r="I24" s="73" t="s">
        <v>194</v>
      </c>
    </row>
    <row r="25" customFormat="false" ht="29.25" hidden="false" customHeight="true" outlineLevel="0" collapsed="false">
      <c r="I25" s="95" t="n">
        <f aca="false">'0.DADES'!D37</f>
        <v>2005</v>
      </c>
      <c r="J25" s="95" t="n">
        <f aca="false">'0.DADES'!E37</f>
        <v>2006</v>
      </c>
      <c r="K25" s="95" t="n">
        <f aca="false">'0.DADES'!F37</f>
        <v>2007</v>
      </c>
      <c r="L25" s="95" t="n">
        <f aca="false">'0.DADES'!G37</f>
        <v>2008</v>
      </c>
      <c r="M25" s="95" t="n">
        <f aca="false">'0.DADES'!H37</f>
        <v>2009</v>
      </c>
      <c r="N25" s="95" t="n">
        <f aca="false">'0.DADES'!I37</f>
        <v>2010</v>
      </c>
    </row>
    <row r="26" customFormat="false" ht="29.25" hidden="false" customHeight="true" outlineLevel="0" collapsed="false">
      <c r="I26" s="132" t="n">
        <f aca="false">'0.DADES'!D13/'0.DADES'!D15</f>
        <v>0.014189640032861</v>
      </c>
      <c r="J26" s="132" t="n">
        <f aca="false">'0.DADES'!E13/'0.DADES'!E15</f>
        <v>0.0146617886775178</v>
      </c>
      <c r="K26" s="132" t="n">
        <f aca="false">'0.DADES'!F13/'0.DADES'!F15</f>
        <v>0.0148487918700685</v>
      </c>
      <c r="L26" s="132" t="n">
        <f aca="false">'0.DADES'!G13/'0.DADES'!G15</f>
        <v>0.0146606634286997</v>
      </c>
      <c r="M26" s="132" t="n">
        <f aca="false">'0.DADES'!H13/'0.DADES'!H15</f>
        <v>0.0148295970417337</v>
      </c>
      <c r="N26" s="132" t="n">
        <f aca="false">'0.DADES'!I13/'0.DADES'!I15</f>
        <v>0.0146490431692838</v>
      </c>
    </row>
    <row r="27" customFormat="false" ht="29.25" hidden="false" customHeight="true" outlineLevel="0" collapsed="false">
      <c r="I27" s="133" t="s">
        <v>195</v>
      </c>
      <c r="J27" s="133"/>
      <c r="K27" s="133"/>
      <c r="L27" s="133"/>
      <c r="M27" s="133"/>
      <c r="N27" s="133"/>
    </row>
    <row r="28" customFormat="false" ht="29.25" hidden="false" customHeight="true" outlineLevel="0" collapsed="false">
      <c r="I28" s="95" t="n">
        <f aca="false">'0.DADES'!D37</f>
        <v>2005</v>
      </c>
      <c r="J28" s="95" t="n">
        <f aca="false">'0.DADES'!E37</f>
        <v>2006</v>
      </c>
      <c r="K28" s="95" t="n">
        <f aca="false">'0.DADES'!F37</f>
        <v>2007</v>
      </c>
      <c r="L28" s="95" t="n">
        <f aca="false">'0.DADES'!G37</f>
        <v>2008</v>
      </c>
      <c r="M28" s="95" t="n">
        <f aca="false">'0.DADES'!H37</f>
        <v>2009</v>
      </c>
      <c r="N28" s="95" t="n">
        <f aca="false">'0.DADES'!I37</f>
        <v>2010</v>
      </c>
    </row>
    <row r="29" customFormat="false" ht="29.25" hidden="false" customHeight="true" outlineLevel="0" collapsed="false">
      <c r="I29" s="132" t="n">
        <f aca="false">'0.DADES'!D32/'0.DADES'!D33</f>
        <v>0.0125904304349041</v>
      </c>
      <c r="J29" s="132" t="n">
        <f aca="false">'0.DADES'!E32/'0.DADES'!E33</f>
        <v>0.0125982161261359</v>
      </c>
      <c r="K29" s="132" t="n">
        <f aca="false">'0.DADES'!F32/'0.DADES'!F33</f>
        <v>0.0125453141199146</v>
      </c>
      <c r="L29" s="132" t="n">
        <f aca="false">'0.DADES'!G32/'0.DADES'!G33</f>
        <v>0.0125521253109998</v>
      </c>
      <c r="M29" s="132" t="n">
        <f aca="false">'0.DADES'!H32/'0.DADES'!H33</f>
        <v>0.0125655552242471</v>
      </c>
      <c r="N29" s="132" t="n">
        <f aca="false">'0.DADES'!I32/'0.DADES'!I33</f>
        <v>0.0126160952905958</v>
      </c>
    </row>
    <row r="30" customFormat="false" ht="21.75" hidden="false" customHeight="true" outlineLevel="0" collapsed="false"/>
    <row r="31" customFormat="false" ht="21.75" hidden="false" customHeight="true" outlineLevel="0" collapsed="false">
      <c r="I31" s="73" t="s">
        <v>196</v>
      </c>
    </row>
    <row r="32" customFormat="false" ht="21.75" hidden="false" customHeight="true" outlineLevel="0" collapsed="false">
      <c r="I32" s="95" t="n">
        <v>2005</v>
      </c>
      <c r="J32" s="95" t="n">
        <v>2006</v>
      </c>
      <c r="K32" s="95" t="n">
        <v>2007</v>
      </c>
      <c r="L32" s="95" t="n">
        <v>2008</v>
      </c>
      <c r="M32" s="95" t="n">
        <v>2009</v>
      </c>
      <c r="N32" s="95" t="n">
        <v>2010</v>
      </c>
    </row>
    <row r="33" customFormat="false" ht="21.75" hidden="false" customHeight="true" outlineLevel="0" collapsed="false">
      <c r="A33" s="83" t="s">
        <v>183</v>
      </c>
      <c r="B33" s="113" t="s">
        <v>184</v>
      </c>
      <c r="I33" s="132"/>
      <c r="J33" s="132"/>
      <c r="K33" s="132"/>
      <c r="L33" s="132"/>
      <c r="M33" s="132"/>
      <c r="N33" s="132"/>
    </row>
    <row r="34" customFormat="false" ht="21.75" hidden="false" customHeight="true" outlineLevel="0" collapsed="false">
      <c r="A34" s="114" t="s">
        <v>197</v>
      </c>
      <c r="B34" s="99" t="n">
        <v>0.267</v>
      </c>
      <c r="C34" s="99" t="n">
        <v>0.267</v>
      </c>
      <c r="D34" s="99" t="n">
        <v>0.267</v>
      </c>
      <c r="E34" s="99" t="n">
        <v>0.267</v>
      </c>
      <c r="F34" s="99" t="n">
        <v>0.267</v>
      </c>
      <c r="G34" s="99" t="n">
        <v>0.267</v>
      </c>
    </row>
    <row r="35" customFormat="false" ht="21.75" hidden="false" customHeight="true" outlineLevel="0" collapsed="false">
      <c r="A35" s="83"/>
      <c r="B35" s="113"/>
    </row>
    <row r="36" customFormat="false" ht="21.75" hidden="false" customHeight="true" outlineLevel="0" collapsed="false">
      <c r="A36" s="75" t="s">
        <v>31</v>
      </c>
      <c r="B36" s="95" t="n">
        <f aca="false">'0.DADES'!D37</f>
        <v>2005</v>
      </c>
      <c r="C36" s="95" t="n">
        <f aca="false">'0.DADES'!E37</f>
        <v>2006</v>
      </c>
      <c r="D36" s="95" t="n">
        <f aca="false">'0.DADES'!F37</f>
        <v>2007</v>
      </c>
      <c r="E36" s="95" t="n">
        <f aca="false">'0.DADES'!G37</f>
        <v>2008</v>
      </c>
      <c r="F36" s="95" t="n">
        <f aca="false">'0.DADES'!H37</f>
        <v>2009</v>
      </c>
      <c r="G36" s="95" t="n">
        <f aca="false">'0.DADES'!I37</f>
        <v>2010</v>
      </c>
    </row>
    <row r="37" customFormat="false" ht="21.75" hidden="false" customHeight="true" outlineLevel="0" collapsed="false">
      <c r="A37" s="114" t="s">
        <v>65</v>
      </c>
      <c r="B37" s="115" t="n">
        <f aca="false">$B$31*B7</f>
        <v>0</v>
      </c>
      <c r="C37" s="115" t="n">
        <f aca="false">$C$34*C7</f>
        <v>0</v>
      </c>
      <c r="D37" s="115" t="n">
        <f aca="false">$D$34*D7</f>
        <v>0</v>
      </c>
      <c r="E37" s="115" t="n">
        <f aca="false">$E$34*E7</f>
        <v>0</v>
      </c>
      <c r="F37" s="115" t="n">
        <f aca="false">$F$34*F7</f>
        <v>0</v>
      </c>
      <c r="G37" s="115" t="n">
        <f aca="false">$G$34*G7</f>
        <v>0</v>
      </c>
    </row>
    <row r="38" customFormat="false" ht="21.75" hidden="false" customHeight="true" outlineLevel="0" collapsed="false">
      <c r="A38" s="114" t="s">
        <v>56</v>
      </c>
      <c r="B38" s="115" t="n">
        <f aca="false">$B$34*B8</f>
        <v>131.816252769166</v>
      </c>
      <c r="C38" s="115" t="n">
        <f aca="false">$C$34*C8</f>
        <v>124.035141305627</v>
      </c>
      <c r="D38" s="115" t="n">
        <f aca="false">$D$34*D8</f>
        <v>119.638071082116</v>
      </c>
      <c r="E38" s="115" t="n">
        <f aca="false">$E$34*E8</f>
        <v>115.9623919263</v>
      </c>
      <c r="F38" s="115" t="n">
        <f aca="false">$F$34*F8</f>
        <v>110.422998057055</v>
      </c>
      <c r="G38" s="115" t="n">
        <f aca="false">$G$34*G8</f>
        <v>103.241788241563</v>
      </c>
    </row>
    <row r="39" customFormat="false" ht="21.75" hidden="false" customHeight="true" outlineLevel="0" collapsed="false">
      <c r="A39" s="114" t="s">
        <v>49</v>
      </c>
      <c r="B39" s="115" t="n">
        <f aca="false">$B$34*B9</f>
        <v>860.999873442862</v>
      </c>
      <c r="C39" s="115" t="n">
        <f aca="false">$C$34*C9</f>
        <v>861.532299971084</v>
      </c>
      <c r="D39" s="115" t="n">
        <f aca="false">$D$34*D9</f>
        <v>891.378503294624</v>
      </c>
      <c r="E39" s="115" t="n">
        <f aca="false">$E$34*E9</f>
        <v>863.723410288235</v>
      </c>
      <c r="F39" s="115" t="n">
        <f aca="false">$F$34*F9</f>
        <v>820.432103384826</v>
      </c>
      <c r="G39" s="115" t="n">
        <f aca="false">$G$34*G9</f>
        <v>840.95225409917</v>
      </c>
    </row>
    <row r="40" customFormat="false" ht="21.75" hidden="false" customHeight="true" outlineLevel="0" collapsed="false">
      <c r="A40" s="114" t="s">
        <v>42</v>
      </c>
      <c r="B40" s="115" t="n">
        <f aca="false">$B$34*B10</f>
        <v>1921.55883735625</v>
      </c>
      <c r="C40" s="115" t="n">
        <f aca="false">$C$34*C10</f>
        <v>1763.85378424059</v>
      </c>
      <c r="D40" s="115" t="n">
        <f aca="false">$D$34*D10</f>
        <v>1559.1021836616</v>
      </c>
      <c r="E40" s="115" t="n">
        <f aca="false">$E$34*E10</f>
        <v>1517.33548580717</v>
      </c>
      <c r="F40" s="115" t="n">
        <f aca="false">$F$34*F10</f>
        <v>1411.98618389238</v>
      </c>
      <c r="G40" s="115" t="n">
        <f aca="false">$G$34*G10</f>
        <v>1211.78761315104</v>
      </c>
    </row>
    <row r="41" customFormat="false" ht="21.75" hidden="false" customHeight="true" outlineLevel="0" collapsed="false">
      <c r="A41" s="114" t="s">
        <v>44</v>
      </c>
      <c r="B41" s="118"/>
      <c r="C41" s="118"/>
      <c r="D41" s="118"/>
      <c r="E41" s="118"/>
      <c r="F41" s="118"/>
      <c r="G41" s="118"/>
    </row>
    <row r="42" customFormat="false" ht="21.75" hidden="false" customHeight="true" outlineLevel="0" collapsed="false">
      <c r="A42" s="121" t="s">
        <v>176</v>
      </c>
      <c r="B42" s="115" t="n">
        <f aca="false">SUM(B37:B40)</f>
        <v>2914.37496356828</v>
      </c>
      <c r="C42" s="115" t="n">
        <f aca="false">SUM(C37:C40)</f>
        <v>2749.4212255173</v>
      </c>
      <c r="D42" s="115" t="n">
        <f aca="false">SUM(D37:D40)</f>
        <v>2570.11875803834</v>
      </c>
      <c r="E42" s="115" t="n">
        <f aca="false">SUM(E37:E40)</f>
        <v>2497.0212880217</v>
      </c>
      <c r="F42" s="115" t="n">
        <f aca="false">SUM(F37:F40)</f>
        <v>2342.84128533426</v>
      </c>
      <c r="G42" s="115" t="n">
        <f aca="false">SUM(G37:G40)</f>
        <v>2155.98165549177</v>
      </c>
    </row>
    <row r="43" customFormat="false" ht="21.75" hidden="false" customHeight="true" outlineLevel="0" collapsed="false">
      <c r="A43" s="121" t="s">
        <v>177</v>
      </c>
      <c r="B43" s="115" t="n">
        <f aca="false">B39+B40+B41</f>
        <v>2782.55871079912</v>
      </c>
      <c r="C43" s="115" t="n">
        <f aca="false">C39+C40+C41</f>
        <v>2625.38608421167</v>
      </c>
      <c r="D43" s="115" t="n">
        <f aca="false">D39+D40+D41</f>
        <v>2450.48068695622</v>
      </c>
      <c r="E43" s="115" t="n">
        <f aca="false">E39+E40+E41</f>
        <v>2381.0588960954</v>
      </c>
      <c r="F43" s="115" t="n">
        <f aca="false">F39+F40+F41</f>
        <v>2232.4182872772</v>
      </c>
      <c r="G43" s="115" t="n">
        <f aca="false">G39+G40+G41</f>
        <v>2052.73986725021</v>
      </c>
    </row>
  </sheetData>
  <mergeCells count="1">
    <mergeCell ref="B3:F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7.xml><?xml version="1.0" encoding="utf-8"?>
<worksheet xmlns="http://schemas.openxmlformats.org/spreadsheetml/2006/main" xmlns:r="http://schemas.openxmlformats.org/officeDocument/2006/relationships">
  <sheetPr filterMode="false">
    <tabColor rgb="FF9BBB59"/>
    <pageSetUpPr fitToPage="false"/>
  </sheetPr>
  <dimension ref="A1:O98"/>
  <sheetViews>
    <sheetView windowProtection="false"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G40" activeCellId="0" sqref="G40"/>
    </sheetView>
  </sheetViews>
  <sheetFormatPr defaultRowHeight="21"/>
  <cols>
    <col collapsed="false" hidden="false" max="1" min="1" style="73" width="34.9642857142857"/>
    <col collapsed="false" hidden="false" max="7" min="2" style="73" width="13.2295918367347"/>
    <col collapsed="false" hidden="false" max="8" min="8" style="73" width="19.5714285714286"/>
    <col collapsed="false" hidden="false" max="14" min="9" style="73" width="11.2040816326531"/>
    <col collapsed="false" hidden="false" max="15" min="15" style="73" width="10.9336734693878"/>
    <col collapsed="false" hidden="false" max="1025" min="16" style="73" width="13.2295918367347"/>
  </cols>
  <sheetData>
    <row r="1" customFormat="false" ht="21" hidden="false" customHeight="true" outlineLevel="0" collapsed="false">
      <c r="A1" s="83" t="str">
        <f aca="false">'0.DADES'!D2</f>
        <v>Andratx</v>
      </c>
      <c r="B1" s="106"/>
      <c r="H1" s="104" t="s">
        <v>166</v>
      </c>
    </row>
    <row r="2" customFormat="false" ht="21" hidden="false" customHeight="true" outlineLevel="0" collapsed="false">
      <c r="H2" s="107" t="s">
        <v>167</v>
      </c>
    </row>
    <row r="3" customFormat="false" ht="21" hidden="false" customHeight="true" outlineLevel="0" collapsed="false">
      <c r="A3" s="75" t="s">
        <v>168</v>
      </c>
      <c r="B3" s="77" t="s">
        <v>186</v>
      </c>
      <c r="C3" s="77"/>
      <c r="D3" s="77"/>
      <c r="E3" s="77"/>
      <c r="F3" s="77"/>
      <c r="H3" s="108" t="s">
        <v>170</v>
      </c>
    </row>
    <row r="5" customFormat="false" ht="21.75" hidden="false" customHeight="true" outlineLevel="0" collapsed="false">
      <c r="A5" s="83" t="s">
        <v>198</v>
      </c>
      <c r="B5" s="113" t="s">
        <v>173</v>
      </c>
    </row>
    <row r="6" customFormat="false" ht="21.75" hidden="false" customHeight="true" outlineLevel="0" collapsed="false">
      <c r="A6" s="75" t="s">
        <v>31</v>
      </c>
      <c r="B6" s="99" t="n">
        <f aca="false">'0.DADES'!D8</f>
        <v>2005</v>
      </c>
      <c r="C6" s="99" t="n">
        <f aca="false">'0.DADES'!E8</f>
        <v>2006</v>
      </c>
      <c r="D6" s="99" t="n">
        <f aca="false">'0.DADES'!F8</f>
        <v>2007</v>
      </c>
      <c r="E6" s="99" t="n">
        <f aca="false">'0.DADES'!G8</f>
        <v>2008</v>
      </c>
      <c r="F6" s="99" t="n">
        <f aca="false">'0.DADES'!H8</f>
        <v>2009</v>
      </c>
      <c r="G6" s="99" t="n">
        <f aca="false">'0.DADES'!I8</f>
        <v>2010</v>
      </c>
    </row>
    <row r="7" customFormat="false" ht="21.75" hidden="false" customHeight="true" outlineLevel="0" collapsed="false">
      <c r="A7" s="114" t="s">
        <v>65</v>
      </c>
      <c r="B7" s="134"/>
      <c r="C7" s="134"/>
      <c r="D7" s="134"/>
      <c r="E7" s="134"/>
      <c r="F7" s="134"/>
      <c r="G7" s="134"/>
    </row>
    <row r="8" customFormat="false" ht="21.75" hidden="false" customHeight="true" outlineLevel="0" collapsed="false">
      <c r="A8" s="114" t="s">
        <v>56</v>
      </c>
      <c r="B8" s="134"/>
      <c r="C8" s="134"/>
      <c r="D8" s="134"/>
      <c r="E8" s="134"/>
      <c r="F8" s="134"/>
      <c r="G8" s="134"/>
    </row>
    <row r="9" customFormat="false" ht="21.75" hidden="false" customHeight="true" outlineLevel="0" collapsed="false">
      <c r="A9" s="114" t="s">
        <v>49</v>
      </c>
      <c r="B9" s="134"/>
      <c r="C9" s="134"/>
      <c r="D9" s="134"/>
      <c r="E9" s="134"/>
      <c r="F9" s="134"/>
      <c r="G9" s="134"/>
    </row>
    <row r="10" customFormat="false" ht="21.75" hidden="false" customHeight="true" outlineLevel="0" collapsed="false">
      <c r="A10" s="114" t="s">
        <v>42</v>
      </c>
      <c r="B10" s="134"/>
      <c r="C10" s="134"/>
      <c r="D10" s="134"/>
      <c r="E10" s="134"/>
      <c r="F10" s="134"/>
      <c r="G10" s="134"/>
    </row>
    <row r="11" customFormat="false" ht="21.75" hidden="false" customHeight="true" outlineLevel="0" collapsed="false">
      <c r="A11" s="114" t="s">
        <v>199</v>
      </c>
      <c r="B11" s="134" t="n">
        <f aca="false">B53*I58*'0.DADES'!$E$68</f>
        <v>34836.8314454196</v>
      </c>
      <c r="C11" s="134" t="n">
        <f aca="false">C53*J58*'0.DADES'!$E$68</f>
        <v>35409.5394101154</v>
      </c>
      <c r="D11" s="134" t="n">
        <f aca="false">D53*K58*'0.DADES'!$E$68</f>
        <v>35196.5507080797</v>
      </c>
      <c r="E11" s="134" t="n">
        <f aca="false">E53*L58*'0.DADES'!$E$68</f>
        <v>33553.6409992852</v>
      </c>
      <c r="F11" s="134" t="n">
        <f aca="false">F53*M58*'0.DADES'!$E$68</f>
        <v>31985.7961396805</v>
      </c>
      <c r="G11" s="134" t="n">
        <f aca="false">G53*N58*'0.DADES'!$E$68</f>
        <v>30823.9985122559</v>
      </c>
    </row>
    <row r="12" customFormat="false" ht="21.75" hidden="false" customHeight="true" outlineLevel="0" collapsed="false">
      <c r="A12" s="121" t="s">
        <v>176</v>
      </c>
      <c r="B12" s="134" t="n">
        <f aca="false">SUM(B7:B11)</f>
        <v>34836.8314454196</v>
      </c>
      <c r="C12" s="134" t="n">
        <f aca="false">SUM(C7:C11)</f>
        <v>35409.5394101154</v>
      </c>
      <c r="D12" s="134" t="n">
        <f aca="false">SUM(D7:D11)</f>
        <v>35196.5507080797</v>
      </c>
      <c r="E12" s="134" t="n">
        <f aca="false">SUM(E7:E11)</f>
        <v>33553.6409992852</v>
      </c>
      <c r="F12" s="134" t="n">
        <f aca="false">SUM(F7:F11)</f>
        <v>31985.7961396805</v>
      </c>
      <c r="G12" s="134" t="n">
        <f aca="false">SUM(G7:G11)</f>
        <v>30823.9985122559</v>
      </c>
    </row>
    <row r="13" customFormat="false" ht="21.75" hidden="false" customHeight="true" outlineLevel="0" collapsed="false">
      <c r="A13" s="121" t="s">
        <v>177</v>
      </c>
      <c r="B13" s="134" t="n">
        <f aca="false">B9+B10+B11</f>
        <v>34836.8314454196</v>
      </c>
      <c r="C13" s="134" t="n">
        <f aca="false">C9+C10+C11</f>
        <v>35409.5394101154</v>
      </c>
      <c r="D13" s="134" t="n">
        <f aca="false">D9+D10+D11</f>
        <v>35196.5507080797</v>
      </c>
      <c r="E13" s="134" t="n">
        <f aca="false">E9+E10+E11</f>
        <v>33553.6409992852</v>
      </c>
      <c r="F13" s="134" t="n">
        <f aca="false">F9+F10+F11</f>
        <v>31985.7961396805</v>
      </c>
      <c r="G13" s="134" t="n">
        <f aca="false">G9+G10+G11</f>
        <v>30823.9985122559</v>
      </c>
    </row>
    <row r="14" customFormat="false" ht="21.75" hidden="false" customHeight="true" outlineLevel="0" collapsed="false">
      <c r="A14" s="127"/>
      <c r="B14" s="131"/>
      <c r="C14" s="131"/>
      <c r="D14" s="131"/>
      <c r="E14" s="131"/>
      <c r="F14" s="131"/>
      <c r="G14" s="131"/>
    </row>
    <row r="15" customFormat="false" ht="21.75" hidden="false" customHeight="true" outlineLevel="0" collapsed="false">
      <c r="A15" s="83" t="s">
        <v>200</v>
      </c>
      <c r="B15" s="113" t="s">
        <v>173</v>
      </c>
    </row>
    <row r="16" customFormat="false" ht="21.75" hidden="false" customHeight="true" outlineLevel="0" collapsed="false">
      <c r="A16" s="75" t="s">
        <v>31</v>
      </c>
      <c r="B16" s="99" t="n">
        <f aca="false">'0.DADES'!D37</f>
        <v>2005</v>
      </c>
      <c r="C16" s="99" t="n">
        <f aca="false">'0.DADES'!E37</f>
        <v>2006</v>
      </c>
      <c r="D16" s="99" t="n">
        <f aca="false">'0.DADES'!F37</f>
        <v>2007</v>
      </c>
      <c r="E16" s="99" t="n">
        <f aca="false">'0.DADES'!G37</f>
        <v>2008</v>
      </c>
      <c r="F16" s="99" t="n">
        <f aca="false">'0.DADES'!H37</f>
        <v>2009</v>
      </c>
      <c r="G16" s="99" t="n">
        <f aca="false">'0.DADES'!I37</f>
        <v>2010</v>
      </c>
    </row>
    <row r="17" customFormat="false" ht="21.75" hidden="false" customHeight="true" outlineLevel="0" collapsed="false">
      <c r="A17" s="114" t="s">
        <v>201</v>
      </c>
      <c r="B17" s="134" t="n">
        <f aca="false">B51*I61*'0.DADES'!$E$66</f>
        <v>6378.45783883012</v>
      </c>
      <c r="C17" s="134" t="n">
        <f aca="false">C51*J61*'0.DADES'!$E$66</f>
        <v>5598.9888882353</v>
      </c>
      <c r="D17" s="134" t="n">
        <f aca="false">D51*K61*'0.DADES'!$E$66</f>
        <v>4973.51126751592</v>
      </c>
      <c r="E17" s="134" t="n">
        <f aca="false">E51*L61*'0.DADES'!$E$66</f>
        <v>4810.74190762621</v>
      </c>
      <c r="F17" s="134" t="n">
        <f aca="false">F51*M61*'0.DADES'!$E$66</f>
        <v>3920.06090609555</v>
      </c>
      <c r="G17" s="134" t="n">
        <f aca="false">G51*N61*'0.DADES'!$E$66</f>
        <v>3282.12208992601</v>
      </c>
      <c r="I17" s="135" t="n">
        <f aca="false">B17/$B$24</f>
        <v>0.0423952818519556</v>
      </c>
    </row>
    <row r="18" customFormat="false" ht="21.75" hidden="false" customHeight="true" outlineLevel="0" collapsed="false">
      <c r="A18" s="114" t="s">
        <v>202</v>
      </c>
      <c r="B18" s="134" t="n">
        <f aca="false">(B52*'0.DADES'!$E$67)*J49*I52</f>
        <v>9058.92768938543</v>
      </c>
      <c r="C18" s="134" t="n">
        <f aca="false">(C52*'0.DADES'!$E$67)*K49*J52</f>
        <v>10998.6635843776</v>
      </c>
      <c r="D18" s="134" t="n">
        <f aca="false">(D52*'0.DADES'!$E$67)*L49*K52</f>
        <v>12064.7892356538</v>
      </c>
      <c r="E18" s="134" t="n">
        <f aca="false">(E52*'0.DADES'!$E$67)*M49*L52</f>
        <v>10570.9658564363</v>
      </c>
      <c r="F18" s="134" t="n">
        <f aca="false">(F52*'0.DADES'!$E$67)*N49*M52</f>
        <v>9768.84146780733</v>
      </c>
      <c r="G18" s="134" t="n">
        <f aca="false">(G52*'0.DADES'!$E$67)*O49*N52</f>
        <v>7732.75877791344</v>
      </c>
      <c r="I18" s="135" t="n">
        <f aca="false">B18/$B$24</f>
        <v>0.0602113868857084</v>
      </c>
    </row>
    <row r="19" customFormat="false" ht="21.75" hidden="false" customHeight="true" outlineLevel="0" collapsed="false">
      <c r="A19" s="114" t="s">
        <v>203</v>
      </c>
      <c r="B19" s="134" t="n">
        <f aca="false">(B52*'0.DADES'!$E$67)*J47*I55</f>
        <v>26792.2454993796</v>
      </c>
      <c r="C19" s="134" t="n">
        <f aca="false">(C52*'0.DADES'!$E$67)*K47*J55</f>
        <v>31501.4887778833</v>
      </c>
      <c r="D19" s="134" t="n">
        <f aca="false">(D52*'0.DADES'!$E$67)*L47*K55</f>
        <v>34236.7901808623</v>
      </c>
      <c r="E19" s="134" t="n">
        <f aca="false">(E52*'0.DADES'!$E$67)*M47*L55</f>
        <v>30169.6535348451</v>
      </c>
      <c r="F19" s="134" t="n">
        <f aca="false">(F52*'0.DADES'!$E$67)*N47*M55</f>
        <v>27592.5706884618</v>
      </c>
      <c r="G19" s="134" t="n">
        <f aca="false">(G52*'0.DADES'!$E$67)*O47*N55</f>
        <v>22232.7371680877</v>
      </c>
      <c r="I19" s="135" t="n">
        <f aca="false">B19/$B$24</f>
        <v>0.178078279749407</v>
      </c>
      <c r="J19" s="130" t="s">
        <v>188</v>
      </c>
    </row>
    <row r="20" customFormat="false" ht="21.75" hidden="false" customHeight="true" outlineLevel="0" collapsed="false">
      <c r="A20" s="114" t="s">
        <v>204</v>
      </c>
      <c r="B20" s="134" t="n">
        <f aca="false">B52*J48*I52*'0.DADES'!$E$67</f>
        <v>21137.2263668869</v>
      </c>
      <c r="C20" s="134" t="n">
        <f aca="false">C52*K48*J52*'0.DADES'!$E$67</f>
        <v>25662.7309229245</v>
      </c>
      <c r="D20" s="134" t="n">
        <f aca="false">D52*L48*K52*'0.DADES'!$E$67</f>
        <v>28151.514631136</v>
      </c>
      <c r="E20" s="134" t="n">
        <f aca="false">E52*M48*L52*'0.DADES'!$E$67</f>
        <v>24665.5869983514</v>
      </c>
      <c r="F20" s="134" t="n">
        <f aca="false">F52*N48*M52*'0.DADES'!$E$67</f>
        <v>22794.3012834114</v>
      </c>
      <c r="G20" s="134" t="n">
        <f aca="false">G52*O48*N52*'0.DADES'!$E$67</f>
        <v>18043.0395421615</v>
      </c>
      <c r="I20" s="135" t="n">
        <f aca="false">B20/$B$24</f>
        <v>0.140491431006639</v>
      </c>
    </row>
    <row r="21" customFormat="false" ht="21.75" hidden="false" customHeight="true" outlineLevel="0" collapsed="false">
      <c r="A21" s="114" t="s">
        <v>205</v>
      </c>
      <c r="B21" s="134" t="n">
        <f aca="false">B50*I58*'0.DADES'!$E$65</f>
        <v>52248.3794139128</v>
      </c>
      <c r="C21" s="134" t="n">
        <f aca="false">C50*J58*'0.DADES'!$E$65</f>
        <v>55964.0569097054</v>
      </c>
      <c r="D21" s="134" t="n">
        <f aca="false">D50*K58*'0.DADES'!$E$65</f>
        <v>60269.4187521418</v>
      </c>
      <c r="E21" s="134" t="n">
        <f aca="false">E50*L58*'0.DADES'!$E$65</f>
        <v>59972.2009999196</v>
      </c>
      <c r="F21" s="134" t="n">
        <f aca="false">F50*M58*'0.DADES'!$E$65</f>
        <v>57330.144326916</v>
      </c>
      <c r="G21" s="134" t="n">
        <f aca="false">G50*N58*'0.DADES'!$E$65</f>
        <v>56140.2784321843</v>
      </c>
      <c r="I21" s="135" t="n">
        <f aca="false">(B21+B11)/$B$24</f>
        <v>0.578823620506291</v>
      </c>
    </row>
    <row r="22" customFormat="false" ht="21.75" hidden="false" customHeight="true" outlineLevel="0" collapsed="false">
      <c r="A22" s="121" t="s">
        <v>176</v>
      </c>
      <c r="B22" s="134" t="n">
        <f aca="false">SUM(B17:B21)</f>
        <v>115615.236808395</v>
      </c>
      <c r="C22" s="134" t="n">
        <f aca="false">SUM(C17:C21)</f>
        <v>129725.929083126</v>
      </c>
      <c r="D22" s="134" t="n">
        <f aca="false">SUM(D17:D21)</f>
        <v>139696.02406731</v>
      </c>
      <c r="E22" s="134" t="n">
        <f aca="false">SUM(E17:E21)</f>
        <v>130189.149297179</v>
      </c>
      <c r="F22" s="134" t="n">
        <f aca="false">SUM(F17:F21)</f>
        <v>121405.918672692</v>
      </c>
      <c r="G22" s="134" t="n">
        <f aca="false">SUM(G17:G21)</f>
        <v>107430.936010273</v>
      </c>
      <c r="I22" s="135" t="n">
        <f aca="false">SUM(I17:I21)</f>
        <v>1</v>
      </c>
    </row>
    <row r="23" customFormat="false" ht="21.75" hidden="false" customHeight="true" outlineLevel="0" collapsed="false">
      <c r="A23" s="121" t="s">
        <v>177</v>
      </c>
      <c r="B23" s="134" t="n">
        <f aca="false">B19+B20+B21</f>
        <v>100177.851280179</v>
      </c>
      <c r="C23" s="134" t="n">
        <f aca="false">C19+C20+C21</f>
        <v>113128.276610513</v>
      </c>
      <c r="D23" s="134" t="n">
        <f aca="false">D19+D20+D21</f>
        <v>122657.72356414</v>
      </c>
      <c r="E23" s="134" t="n">
        <f aca="false">E19+E20+E21</f>
        <v>114807.441533116</v>
      </c>
      <c r="F23" s="134" t="n">
        <f aca="false">F19+F20+F21</f>
        <v>107717.016298789</v>
      </c>
      <c r="G23" s="134" t="n">
        <f aca="false">G19+G20+G21</f>
        <v>96416.0551424335</v>
      </c>
    </row>
    <row r="24" customFormat="false" ht="21.75" hidden="false" customHeight="true" outlineLevel="0" collapsed="false">
      <c r="A24" s="127"/>
      <c r="B24" s="118" t="n">
        <f aca="false">B12+B22</f>
        <v>150452.068253814</v>
      </c>
      <c r="C24" s="118" t="n">
        <f aca="false">C12+C22</f>
        <v>165135.468493241</v>
      </c>
      <c r="D24" s="118" t="n">
        <f aca="false">D12+D22</f>
        <v>174892.57477539</v>
      </c>
      <c r="E24" s="118" t="n">
        <f aca="false">E12+E22</f>
        <v>163742.790296464</v>
      </c>
      <c r="F24" s="118" t="n">
        <f aca="false">F12+F22</f>
        <v>153391.714812373</v>
      </c>
      <c r="G24" s="118" t="n">
        <f aca="false">G12+G22</f>
        <v>138254.934522529</v>
      </c>
    </row>
    <row r="25" customFormat="false" ht="21.75" hidden="false" customHeight="true" outlineLevel="0" collapsed="false">
      <c r="A25" s="127"/>
      <c r="B25" s="131"/>
      <c r="C25" s="131"/>
      <c r="D25" s="131"/>
      <c r="E25" s="131"/>
      <c r="F25" s="131"/>
      <c r="G25" s="131"/>
    </row>
    <row r="26" customFormat="false" ht="21.75" hidden="false" customHeight="true" outlineLevel="0" collapsed="false">
      <c r="A26" s="83" t="s">
        <v>206</v>
      </c>
      <c r="B26" s="113" t="s">
        <v>173</v>
      </c>
    </row>
    <row r="27" customFormat="false" ht="21.75" hidden="false" customHeight="true" outlineLevel="0" collapsed="false">
      <c r="A27" s="75" t="s">
        <v>31</v>
      </c>
      <c r="B27" s="99" t="n">
        <v>2005</v>
      </c>
      <c r="C27" s="99" t="n">
        <v>2006</v>
      </c>
      <c r="D27" s="99" t="n">
        <v>2007</v>
      </c>
      <c r="E27" s="99" t="n">
        <v>2008</v>
      </c>
      <c r="F27" s="99" t="n">
        <v>2009</v>
      </c>
      <c r="G27" s="99" t="n">
        <v>2010</v>
      </c>
    </row>
    <row r="28" customFormat="false" ht="21.75" hidden="false" customHeight="true" outlineLevel="0" collapsed="false">
      <c r="A28" s="114" t="s">
        <v>65</v>
      </c>
      <c r="B28" s="99" t="n">
        <v>0</v>
      </c>
      <c r="C28" s="99" t="n">
        <v>0</v>
      </c>
      <c r="D28" s="99" t="n">
        <v>0</v>
      </c>
      <c r="E28" s="99" t="n">
        <v>0</v>
      </c>
      <c r="F28" s="99" t="n">
        <v>0</v>
      </c>
      <c r="G28" s="99" t="n">
        <v>0</v>
      </c>
    </row>
    <row r="29" customFormat="false" ht="21.75" hidden="false" customHeight="true" outlineLevel="0" collapsed="false">
      <c r="A29" s="114" t="s">
        <v>56</v>
      </c>
      <c r="B29" s="134" t="n">
        <f aca="false">B57*'0.DADES'!$F$61*J64*I52</f>
        <v>3382.60694765981</v>
      </c>
      <c r="C29" s="134" t="n">
        <f aca="false">C57*'0.DADES'!$F$61*K64*J52</f>
        <v>3014.6934302017</v>
      </c>
      <c r="D29" s="134" t="n">
        <f aca="false">D57*'0.DADES'!$F$61*L64*K52</f>
        <v>2968.66958320958</v>
      </c>
      <c r="E29" s="134" t="n">
        <f aca="false">E57*'0.DADES'!$F$61*M64*L52</f>
        <v>3369.97199612655</v>
      </c>
      <c r="F29" s="134" t="n">
        <f aca="false">F57*'0.DADES'!$F$61*N64*M52</f>
        <v>0</v>
      </c>
      <c r="G29" s="134" t="n">
        <f aca="false">G57*'0.DADES'!$F$61*O64*N52</f>
        <v>0</v>
      </c>
    </row>
    <row r="30" customFormat="false" ht="21.75" hidden="false" customHeight="true" outlineLevel="0" collapsed="false">
      <c r="A30" s="114" t="s">
        <v>49</v>
      </c>
      <c r="B30" s="134" t="n">
        <f aca="false">B58*'0.DADES'!$F$61*'4.CL'!J65*'4.CL'!I52</f>
        <v>0.29968439949787</v>
      </c>
      <c r="C30" s="134" t="n">
        <f aca="false">C58*'0.DADES'!$F$61*'4.CL'!K65*'4.CL'!J52</f>
        <v>0.2946723470723</v>
      </c>
      <c r="D30" s="134" t="n">
        <f aca="false">D58*'0.DADES'!$F$61*'4.CL'!L65*'4.CL'!K52</f>
        <v>0.316734954263055</v>
      </c>
      <c r="E30" s="134" t="n">
        <f aca="false">E58*'0.DADES'!$F$61*'4.CL'!M65*'4.CL'!L52</f>
        <v>0.359542622105368</v>
      </c>
      <c r="F30" s="134" t="n">
        <f aca="false">F58*'0.DADES'!$F$61*'4.CL'!N65*'4.CL'!M52</f>
        <v>0</v>
      </c>
      <c r="G30" s="134" t="n">
        <f aca="false">G58*'0.DADES'!$F$61*'4.CL'!O65*'4.CL'!N52</f>
        <v>0</v>
      </c>
    </row>
    <row r="31" customFormat="false" ht="21.75" hidden="false" customHeight="true" outlineLevel="0" collapsed="false">
      <c r="A31" s="114" t="s">
        <v>42</v>
      </c>
      <c r="B31" s="134" t="n">
        <v>0</v>
      </c>
      <c r="C31" s="134" t="n">
        <v>0</v>
      </c>
      <c r="D31" s="134" t="n">
        <v>0</v>
      </c>
      <c r="E31" s="134" t="n">
        <v>0</v>
      </c>
      <c r="F31" s="134" t="n">
        <v>0</v>
      </c>
      <c r="G31" s="134" t="n">
        <v>0</v>
      </c>
    </row>
    <row r="32" customFormat="false" ht="21.75" hidden="false" customHeight="true" outlineLevel="0" collapsed="false">
      <c r="A32" s="114" t="s">
        <v>207</v>
      </c>
      <c r="B32" s="134" t="n">
        <v>0</v>
      </c>
      <c r="C32" s="134" t="n">
        <v>0</v>
      </c>
      <c r="D32" s="134" t="n">
        <v>0</v>
      </c>
      <c r="E32" s="134" t="n">
        <v>0</v>
      </c>
      <c r="F32" s="134" t="n">
        <v>0</v>
      </c>
      <c r="G32" s="134" t="n">
        <v>0</v>
      </c>
    </row>
    <row r="33" customFormat="false" ht="21.75" hidden="false" customHeight="true" outlineLevel="0" collapsed="false">
      <c r="A33" s="121" t="s">
        <v>176</v>
      </c>
      <c r="B33" s="134" t="n">
        <f aca="false">SUM(B29:B30)</f>
        <v>3382.90663205931</v>
      </c>
      <c r="C33" s="134" t="n">
        <f aca="false">SUM(C29:C30)</f>
        <v>3014.98810254877</v>
      </c>
      <c r="D33" s="134" t="n">
        <f aca="false">SUM(D29:D30)</f>
        <v>2968.98631816385</v>
      </c>
      <c r="E33" s="134" t="n">
        <f aca="false">SUM(E29:E30)</f>
        <v>3370.33153874866</v>
      </c>
      <c r="F33" s="134" t="n">
        <f aca="false">SUM(F29:F30)</f>
        <v>0</v>
      </c>
      <c r="G33" s="134" t="n">
        <f aca="false">SUM(G29:G30)</f>
        <v>0</v>
      </c>
    </row>
    <row r="34" customFormat="false" ht="21.75" hidden="false" customHeight="true" outlineLevel="0" collapsed="false">
      <c r="A34" s="121" t="s">
        <v>177</v>
      </c>
      <c r="B34" s="134" t="n">
        <f aca="false">B30</f>
        <v>0.29968439949787</v>
      </c>
      <c r="C34" s="134" t="n">
        <f aca="false">C30</f>
        <v>0.2946723470723</v>
      </c>
      <c r="D34" s="134" t="n">
        <f aca="false">D30</f>
        <v>0.316734954263055</v>
      </c>
      <c r="E34" s="134" t="n">
        <f aca="false">E30</f>
        <v>0.359542622105368</v>
      </c>
      <c r="F34" s="134" t="n">
        <f aca="false">F30</f>
        <v>0</v>
      </c>
      <c r="G34" s="134" t="n">
        <f aca="false">G30</f>
        <v>0</v>
      </c>
    </row>
    <row r="35" customFormat="false" ht="21" hidden="false" customHeight="true" outlineLevel="0" collapsed="false">
      <c r="A35" s="73" t="s">
        <v>208</v>
      </c>
    </row>
    <row r="36" customFormat="false" ht="21" hidden="false" customHeight="true" outlineLevel="0" collapsed="false">
      <c r="A36" s="83" t="s">
        <v>209</v>
      </c>
      <c r="B36" s="113" t="s">
        <v>210</v>
      </c>
      <c r="I36" s="73" t="s">
        <v>211</v>
      </c>
    </row>
    <row r="37" customFormat="false" ht="21" hidden="false" customHeight="true" outlineLevel="0" collapsed="false">
      <c r="A37" s="75" t="s">
        <v>31</v>
      </c>
      <c r="B37" s="99" t="n">
        <f aca="false">'0.DADES'!D37</f>
        <v>2005</v>
      </c>
      <c r="C37" s="99" t="n">
        <f aca="false">'0.DADES'!E37</f>
        <v>2006</v>
      </c>
      <c r="D37" s="99" t="n">
        <f aca="false">'0.DADES'!F37</f>
        <v>2007</v>
      </c>
      <c r="E37" s="99" t="n">
        <f aca="false">'0.DADES'!G37</f>
        <v>2008</v>
      </c>
      <c r="F37" s="99" t="n">
        <f aca="false">'0.DADES'!H37</f>
        <v>2009</v>
      </c>
      <c r="G37" s="99" t="n">
        <f aca="false">'0.DADES'!I37</f>
        <v>2010</v>
      </c>
      <c r="I37" s="95" t="n">
        <f aca="false">'0.DADES'!D37</f>
        <v>2005</v>
      </c>
      <c r="J37" s="95" t="n">
        <f aca="false">'0.DADES'!E37</f>
        <v>2006</v>
      </c>
      <c r="K37" s="95" t="n">
        <f aca="false">'0.DADES'!F37</f>
        <v>2007</v>
      </c>
      <c r="L37" s="95" t="n">
        <f aca="false">'0.DADES'!G37</f>
        <v>2008</v>
      </c>
      <c r="M37" s="95" t="n">
        <f aca="false">'0.DADES'!H37</f>
        <v>2009</v>
      </c>
      <c r="N37" s="95" t="n">
        <f aca="false">'0.DADES'!I37</f>
        <v>2010</v>
      </c>
    </row>
    <row r="38" customFormat="false" ht="21" hidden="false" customHeight="true" outlineLevel="0" collapsed="false">
      <c r="A38" s="87" t="s">
        <v>212</v>
      </c>
      <c r="B38" s="136"/>
      <c r="C38" s="136"/>
      <c r="D38" s="136"/>
      <c r="E38" s="136"/>
      <c r="F38" s="136"/>
      <c r="G38" s="137"/>
      <c r="I38" s="125" t="n">
        <f aca="false">B38/B44</f>
        <v>0</v>
      </c>
      <c r="J38" s="125" t="n">
        <f aca="false">C38/C44</f>
        <v>0</v>
      </c>
      <c r="K38" s="125" t="n">
        <f aca="false">D38/D44</f>
        <v>0</v>
      </c>
      <c r="L38" s="125" t="n">
        <f aca="false">E38/E44</f>
        <v>0</v>
      </c>
      <c r="M38" s="125" t="n">
        <f aca="false">F38/F44</f>
        <v>0</v>
      </c>
      <c r="N38" s="125" t="n">
        <f aca="false">G38/G44</f>
        <v>0</v>
      </c>
    </row>
    <row r="39" customFormat="false" ht="21" hidden="false" customHeight="true" outlineLevel="0" collapsed="false">
      <c r="A39" s="114" t="s">
        <v>65</v>
      </c>
      <c r="B39" s="134" t="n">
        <f aca="false">B17/'0.DADES'!D22*'0.DADES'!D29*0.086</f>
        <v>67808.894634</v>
      </c>
      <c r="C39" s="134" t="n">
        <f aca="false">C17/'0.DADES'!E22*'0.DADES'!E29*0.086</f>
        <v>69263.799462</v>
      </c>
      <c r="D39" s="134" t="n">
        <f aca="false">D17/'0.DADES'!F22*'0.DADES'!F29*0.086</f>
        <v>67152.349134</v>
      </c>
      <c r="E39" s="134" t="n">
        <f aca="false">E17/'0.DADES'!G22*'0.DADES'!G29*0.086</f>
        <v>64196.143596</v>
      </c>
      <c r="F39" s="134" t="n">
        <f aca="false">F17/'0.DADES'!H22*'0.DADES'!H29*0.086</f>
        <v>61390.505826</v>
      </c>
      <c r="G39" s="134" t="n">
        <f aca="false">G17/'0.DADES'!I22*'0.DADES'!I29*0.086</f>
        <v>61991.901504</v>
      </c>
      <c r="I39" s="125" t="n">
        <f aca="false">B39/$B$44</f>
        <v>0.0977035546580072</v>
      </c>
      <c r="J39" s="125" t="n">
        <f aca="false">C39/$C$44</f>
        <v>0.0966765517843173</v>
      </c>
      <c r="K39" s="125" t="n">
        <f aca="false">D39/$D$44</f>
        <v>0.0936470269505018</v>
      </c>
      <c r="L39" s="125" t="n">
        <f aca="false">E39/$E$44</f>
        <v>0.0947717810893083</v>
      </c>
      <c r="M39" s="125" t="n">
        <f aca="false">F39/$F$44</f>
        <v>0.0946562671670542</v>
      </c>
      <c r="N39" s="125" t="n">
        <f aca="false">G39/$G$44</f>
        <v>0.0949195793858591</v>
      </c>
    </row>
    <row r="40" customFormat="false" ht="21" hidden="false" customHeight="true" outlineLevel="0" collapsed="false">
      <c r="A40" s="114" t="s">
        <v>56</v>
      </c>
      <c r="B40" s="138" t="n">
        <f aca="false">11119</f>
        <v>11119</v>
      </c>
      <c r="C40" s="138" t="n">
        <f aca="false">13455</f>
        <v>13455</v>
      </c>
      <c r="D40" s="138" t="n">
        <f aca="false">11837</f>
        <v>11837</v>
      </c>
      <c r="E40" s="138" t="n">
        <f aca="false">9822</f>
        <v>9822</v>
      </c>
      <c r="F40" s="138" t="n">
        <f aca="false">9638</f>
        <v>9638</v>
      </c>
      <c r="G40" s="124" t="n">
        <f aca="false">FORECAST($G$37,B40:F40,$B$37:$F$37)</f>
        <v>9195.69999999995</v>
      </c>
      <c r="I40" s="125" t="n">
        <f aca="false">B40/$B$44</f>
        <v>0.016020992970112</v>
      </c>
      <c r="J40" s="125" t="n">
        <f aca="false">C40/$C$44</f>
        <v>0.0187801277775938</v>
      </c>
      <c r="K40" s="125" t="n">
        <f aca="false">D40/$D$44</f>
        <v>0.0165072387237134</v>
      </c>
      <c r="L40" s="125" t="n">
        <f aca="false">E40/$E$44</f>
        <v>0.0145000677878287</v>
      </c>
      <c r="M40" s="125" t="n">
        <f aca="false">F40/$F$44</f>
        <v>0.0148605568675685</v>
      </c>
      <c r="N40" s="125" t="n">
        <f aca="false">G40/$G$44</f>
        <v>0.0140800968349425</v>
      </c>
    </row>
    <row r="41" customFormat="false" ht="21" hidden="false" customHeight="true" outlineLevel="0" collapsed="false">
      <c r="A41" s="114" t="s">
        <v>49</v>
      </c>
      <c r="B41" s="138" t="n">
        <f aca="false">37062</f>
        <v>37062</v>
      </c>
      <c r="C41" s="138" t="n">
        <f aca="false">44849</f>
        <v>44849</v>
      </c>
      <c r="D41" s="138" t="n">
        <f aca="false">39458</f>
        <v>39458</v>
      </c>
      <c r="E41" s="138" t="n">
        <f aca="false">32741</f>
        <v>32741</v>
      </c>
      <c r="F41" s="138" t="n">
        <f aca="false">32128</f>
        <v>32128</v>
      </c>
      <c r="G41" s="124" t="n">
        <f aca="false">FORECAST($G$37,B41:F41,$B$37:$F$37)</f>
        <v>30654.7999999998</v>
      </c>
      <c r="I41" s="125" t="n">
        <f aca="false">B41/$B$44</f>
        <v>0.0534013887452372</v>
      </c>
      <c r="J41" s="125" t="n">
        <f aca="false">C41/$C$44</f>
        <v>0.0625990301521592</v>
      </c>
      <c r="K41" s="125" t="n">
        <f aca="false">D41/$D$44</f>
        <v>0.0550259884734549</v>
      </c>
      <c r="L41" s="125" t="n">
        <f aca="false">E41/$E$44</f>
        <v>0.0483350355774079</v>
      </c>
      <c r="M41" s="125" t="n">
        <f aca="false">F41/$F$44</f>
        <v>0.0495372453871385</v>
      </c>
      <c r="N41" s="125" t="n">
        <f aca="false">G41/$G$44</f>
        <v>0.0469374329801751</v>
      </c>
    </row>
    <row r="42" customFormat="false" ht="21" hidden="false" customHeight="true" outlineLevel="0" collapsed="false">
      <c r="A42" s="114" t="s">
        <v>42</v>
      </c>
      <c r="B42" s="138" t="n">
        <f aca="false">25944</f>
        <v>25944</v>
      </c>
      <c r="C42" s="138" t="n">
        <f aca="false">31394</f>
        <v>31394</v>
      </c>
      <c r="D42" s="138" t="n">
        <f aca="false">27620</f>
        <v>27620</v>
      </c>
      <c r="E42" s="138" t="n">
        <f aca="false">22918</f>
        <v>22918</v>
      </c>
      <c r="F42" s="138" t="n">
        <f aca="false">22489</f>
        <v>22489</v>
      </c>
      <c r="G42" s="124" t="n">
        <f aca="false">FORECAST($G$37,B42:F42,$B$37:$F$37)</f>
        <v>21457.1999999997</v>
      </c>
      <c r="I42" s="125" t="n">
        <f aca="false">B42/$B$44</f>
        <v>0.0373818366414773</v>
      </c>
      <c r="J42" s="125" t="n">
        <f aca="false">C42/$C$44</f>
        <v>0.0438189023745655</v>
      </c>
      <c r="K42" s="125" t="n">
        <f aca="false">D42/$D$44</f>
        <v>0.0385173552039339</v>
      </c>
      <c r="L42" s="125" t="n">
        <f aca="false">E42/$E$44</f>
        <v>0.0338334915049337</v>
      </c>
      <c r="M42" s="125" t="n">
        <f aca="false">F42/$F$44</f>
        <v>0.0346751466481374</v>
      </c>
      <c r="N42" s="125" t="n">
        <f aca="false">G42/$G$44</f>
        <v>0.0328544269394093</v>
      </c>
    </row>
    <row r="43" customFormat="false" ht="21" hidden="false" customHeight="true" outlineLevel="0" collapsed="false">
      <c r="A43" s="114" t="s">
        <v>44</v>
      </c>
      <c r="B43" s="138" t="n">
        <f aca="false">552093</f>
        <v>552093</v>
      </c>
      <c r="C43" s="138" t="n">
        <f aca="false">557487</f>
        <v>557487</v>
      </c>
      <c r="D43" s="138" t="n">
        <f aca="false">571012</f>
        <v>571012</v>
      </c>
      <c r="E43" s="138" t="n">
        <f aca="false">547699</f>
        <v>547699</v>
      </c>
      <c r="F43" s="138" t="n">
        <f aca="false">522917</f>
        <v>522917</v>
      </c>
      <c r="G43" s="124" t="n">
        <f aca="false">FORECAST($G$37,B43:F43,$B$37:$F$37)</f>
        <v>529799.6</v>
      </c>
      <c r="I43" s="125" t="n">
        <f aca="false">B43/$B$44</f>
        <v>0.795492226985166</v>
      </c>
      <c r="J43" s="125" t="n">
        <f aca="false">C43/$C$44</f>
        <v>0.778125387911364</v>
      </c>
      <c r="K43" s="125" t="n">
        <f aca="false">D43/$D$44</f>
        <v>0.796302390648396</v>
      </c>
      <c r="L43" s="125" t="n">
        <f aca="false">E43/$E$44</f>
        <v>0.808559624040521</v>
      </c>
      <c r="M43" s="125" t="n">
        <f aca="false">F43/$F$44</f>
        <v>0.806270783930101</v>
      </c>
      <c r="N43" s="125" t="n">
        <f aca="false">G43/$G$44</f>
        <v>0.811208463859614</v>
      </c>
    </row>
    <row r="44" customFormat="false" ht="21" hidden="false" customHeight="true" outlineLevel="0" collapsed="false">
      <c r="A44" s="121" t="s">
        <v>193</v>
      </c>
      <c r="B44" s="134" t="n">
        <f aca="false">SUM(B38:B43)</f>
        <v>694026.894634</v>
      </c>
      <c r="C44" s="134" t="n">
        <f aca="false">SUM(C38:C43)</f>
        <v>716448.799462</v>
      </c>
      <c r="D44" s="134" t="n">
        <f aca="false">SUM(D38:D43)</f>
        <v>717079.349134</v>
      </c>
      <c r="E44" s="134" t="n">
        <f aca="false">SUM(E38:E43)</f>
        <v>677376.143596</v>
      </c>
      <c r="F44" s="134" t="n">
        <f aca="false">SUM(F38:F43)</f>
        <v>648562.505826</v>
      </c>
      <c r="G44" s="115" t="n">
        <f aca="false">SUM(G38:G43)</f>
        <v>653099.201503999</v>
      </c>
      <c r="I44" s="125" t="n">
        <f aca="false">SUM(I38:I43)</f>
        <v>1</v>
      </c>
      <c r="J44" s="125" t="n">
        <f aca="false">SUM(J38:J43)</f>
        <v>1</v>
      </c>
      <c r="K44" s="125" t="n">
        <f aca="false">SUM(K38:K43)</f>
        <v>1</v>
      </c>
      <c r="L44" s="125" t="n">
        <f aca="false">SUM(L38:L43)</f>
        <v>1</v>
      </c>
      <c r="M44" s="125" t="n">
        <f aca="false">SUM(M38:M43)</f>
        <v>1</v>
      </c>
      <c r="N44" s="125" t="n">
        <f aca="false">SUM(N38:N43)</f>
        <v>1</v>
      </c>
    </row>
    <row r="45" customFormat="false" ht="21" hidden="false" customHeight="true" outlineLevel="0" collapsed="false">
      <c r="A45" s="127"/>
      <c r="B45" s="131" t="n">
        <f aca="false">B44/0.086</f>
        <v>8070080.17016279</v>
      </c>
      <c r="C45" s="131"/>
      <c r="D45" s="131"/>
      <c r="E45" s="131"/>
      <c r="F45" s="131"/>
      <c r="G45" s="131"/>
      <c r="I45" s="139" t="s">
        <v>213</v>
      </c>
      <c r="K45" s="139"/>
      <c r="L45" s="139"/>
      <c r="M45" s="139"/>
      <c r="N45" s="139"/>
    </row>
    <row r="46" customFormat="false" ht="21" hidden="false" customHeight="true" outlineLevel="0" collapsed="false">
      <c r="A46" s="127"/>
      <c r="B46" s="122" t="n">
        <f aca="false">B23/B45</f>
        <v>0.0124134889824965</v>
      </c>
      <c r="C46" s="131"/>
      <c r="D46" s="131"/>
      <c r="E46" s="131"/>
      <c r="F46" s="131"/>
      <c r="G46" s="131"/>
      <c r="J46" s="95" t="n">
        <v>2005</v>
      </c>
      <c r="K46" s="95" t="n">
        <v>2006</v>
      </c>
      <c r="L46" s="95" t="n">
        <v>2007</v>
      </c>
      <c r="M46" s="95" t="n">
        <v>2008</v>
      </c>
      <c r="N46" s="95" t="n">
        <v>2009</v>
      </c>
      <c r="O46" s="95" t="n">
        <v>2010</v>
      </c>
    </row>
    <row r="47" customFormat="false" ht="21" hidden="false" customHeight="true" outlineLevel="0" collapsed="false">
      <c r="A47" s="127"/>
      <c r="B47" s="122"/>
      <c r="C47" s="131"/>
      <c r="D47" s="131"/>
      <c r="E47" s="131"/>
      <c r="F47" s="131"/>
      <c r="G47" s="131"/>
      <c r="I47" s="114" t="s">
        <v>214</v>
      </c>
      <c r="J47" s="125" t="n">
        <f aca="false">37062/(11119+37062+25944)</f>
        <v>0.499993254637437</v>
      </c>
      <c r="K47" s="125" t="n">
        <f aca="false">44849/(13455+44849+31394)</f>
        <v>0.5</v>
      </c>
      <c r="L47" s="125" t="n">
        <f aca="false">39758/(11837+39458+27620)</f>
        <v>0.503807894570107</v>
      </c>
      <c r="M47" s="125" t="n">
        <f aca="false">32741/(9822+32741+22918)</f>
        <v>0.500007635802752</v>
      </c>
      <c r="N47" s="125" t="n">
        <f aca="false">32128/(9638+32128+22489)</f>
        <v>0.500007781495603</v>
      </c>
      <c r="O47" s="140" t="n">
        <f aca="false">AVERAGE(J47:N47)</f>
        <v>0.50076331330118</v>
      </c>
    </row>
    <row r="48" customFormat="false" ht="21" hidden="false" customHeight="true" outlineLevel="0" collapsed="false">
      <c r="A48" s="127" t="s">
        <v>215</v>
      </c>
      <c r="B48" s="113" t="s">
        <v>216</v>
      </c>
      <c r="C48" s="122"/>
      <c r="D48" s="122"/>
      <c r="E48" s="122"/>
      <c r="F48" s="122"/>
      <c r="G48" s="122"/>
      <c r="I48" s="114" t="s">
        <v>217</v>
      </c>
      <c r="J48" s="125" t="n">
        <f aca="false">25944/(11119+37062+25944)</f>
        <v>0.350003372681282</v>
      </c>
      <c r="K48" s="125" t="n">
        <f aca="false">31394/(13455+44849+31394)</f>
        <v>0.349996655443823</v>
      </c>
      <c r="L48" s="125" t="n">
        <f aca="false">27620/(11837+39458+27620)</f>
        <v>0.349996832034467</v>
      </c>
      <c r="M48" s="125" t="n">
        <f aca="false">22918/(9822+32741+22918)</f>
        <v>0.349994654938074</v>
      </c>
      <c r="N48" s="125" t="n">
        <f aca="false">22489/(9638+32128+22489)</f>
        <v>0.349996109252198</v>
      </c>
      <c r="O48" s="140" t="n">
        <f aca="false">AVERAGE(J48:N48)</f>
        <v>0.349997524869969</v>
      </c>
    </row>
    <row r="49" customFormat="false" ht="21" hidden="false" customHeight="true" outlineLevel="0" collapsed="false">
      <c r="A49" s="73" t="s">
        <v>218</v>
      </c>
      <c r="B49" s="99" t="n">
        <v>2005</v>
      </c>
      <c r="C49" s="99" t="n">
        <v>2006</v>
      </c>
      <c r="D49" s="99" t="n">
        <v>2007</v>
      </c>
      <c r="E49" s="99" t="n">
        <v>2008</v>
      </c>
      <c r="F49" s="99" t="n">
        <v>2009</v>
      </c>
      <c r="G49" s="99" t="n">
        <v>2010</v>
      </c>
      <c r="I49" s="114" t="s">
        <v>219</v>
      </c>
      <c r="J49" s="125" t="n">
        <f aca="false">11119/(11119+37062+25944)</f>
        <v>0.150003372681282</v>
      </c>
      <c r="K49" s="125" t="n">
        <f aca="false">13455/(13455+44849+31394)</f>
        <v>0.150003344556177</v>
      </c>
      <c r="L49" s="125" t="n">
        <f aca="false">11837/(11837+39458+27620)</f>
        <v>0.149996832034467</v>
      </c>
      <c r="M49" s="125" t="n">
        <f aca="false">9822/(9822+32741+22918)</f>
        <v>0.149997709259174</v>
      </c>
      <c r="N49" s="125" t="n">
        <f aca="false">9638/(9638+32128+22489)</f>
        <v>0.149996109252198</v>
      </c>
      <c r="O49" s="140" t="n">
        <f aca="false">AVERAGE(J49:N49)</f>
        <v>0.14999947355666</v>
      </c>
    </row>
    <row r="50" customFormat="false" ht="21" hidden="false" customHeight="true" outlineLevel="0" collapsed="false">
      <c r="A50" s="114" t="s">
        <v>143</v>
      </c>
      <c r="B50" s="138" t="n">
        <v>378372</v>
      </c>
      <c r="C50" s="138" t="n">
        <v>389608</v>
      </c>
      <c r="D50" s="138" t="n">
        <v>411895</v>
      </c>
      <c r="E50" s="138" t="n">
        <v>400967</v>
      </c>
      <c r="F50" s="138" t="n">
        <v>383483</v>
      </c>
      <c r="G50" s="138" t="n">
        <v>372574</v>
      </c>
      <c r="I50" s="73" t="s">
        <v>194</v>
      </c>
    </row>
    <row r="51" customFormat="false" ht="21" hidden="false" customHeight="true" outlineLevel="0" collapsed="false">
      <c r="A51" s="114" t="s">
        <v>144</v>
      </c>
      <c r="B51" s="138" t="n">
        <v>77461</v>
      </c>
      <c r="C51" s="138" t="n">
        <v>79123</v>
      </c>
      <c r="D51" s="138" t="n">
        <v>76711</v>
      </c>
      <c r="E51" s="138" t="n">
        <v>73334</v>
      </c>
      <c r="F51" s="138" t="n">
        <v>70129</v>
      </c>
      <c r="G51" s="138" t="n">
        <v>70816</v>
      </c>
      <c r="I51" s="95" t="n">
        <f aca="false">'0.DADES'!D37</f>
        <v>2005</v>
      </c>
      <c r="J51" s="95" t="n">
        <f aca="false">'0.DADES'!E37</f>
        <v>2006</v>
      </c>
      <c r="K51" s="95" t="n">
        <f aca="false">'0.DADES'!F37</f>
        <v>2007</v>
      </c>
      <c r="L51" s="95" t="n">
        <f aca="false">'0.DADES'!G37</f>
        <v>2008</v>
      </c>
      <c r="M51" s="95" t="n">
        <f aca="false">'0.DADES'!H37</f>
        <v>2009</v>
      </c>
      <c r="N51" s="95" t="n">
        <f aca="false">'0.DADES'!I37</f>
        <v>2010</v>
      </c>
    </row>
    <row r="52" customFormat="false" ht="21" hidden="false" customHeight="true" outlineLevel="0" collapsed="false">
      <c r="A52" s="114" t="s">
        <v>145</v>
      </c>
      <c r="B52" s="138" t="n">
        <v>420228</v>
      </c>
      <c r="C52" s="138" t="n">
        <v>493779</v>
      </c>
      <c r="D52" s="138" t="n">
        <v>534844</v>
      </c>
      <c r="E52" s="138" t="n">
        <v>474632</v>
      </c>
      <c r="F52" s="138" t="n">
        <v>433625</v>
      </c>
      <c r="G52" s="138" t="n">
        <v>347469</v>
      </c>
      <c r="I52" s="125" t="n">
        <f aca="false">'0.DADES'!D13/'0.DADES'!D15</f>
        <v>0.014189640032861</v>
      </c>
      <c r="J52" s="125" t="n">
        <f aca="false">'0.DADES'!E13/'0.DADES'!E15</f>
        <v>0.0146617886775178</v>
      </c>
      <c r="K52" s="125" t="n">
        <f aca="false">'0.DADES'!F13/'0.DADES'!F15</f>
        <v>0.0148487918700685</v>
      </c>
      <c r="L52" s="125" t="n">
        <f aca="false">'0.DADES'!G13/'0.DADES'!G15</f>
        <v>0.0146606634286997</v>
      </c>
      <c r="M52" s="125" t="n">
        <f aca="false">'0.DADES'!H13/'0.DADES'!H15</f>
        <v>0.0148295970417337</v>
      </c>
      <c r="N52" s="125" t="n">
        <f aca="false">'0.DADES'!I13/'0.DADES'!I15</f>
        <v>0.0146490431692838</v>
      </c>
    </row>
    <row r="53" customFormat="false" ht="21" hidden="false" customHeight="true" outlineLevel="0" collapsed="false">
      <c r="A53" s="114" t="s">
        <v>220</v>
      </c>
      <c r="B53" s="138" t="n">
        <f aca="false">230785+6215+36988</f>
        <v>273988</v>
      </c>
      <c r="C53" s="138" t="n">
        <f aca="false">233389+34334</f>
        <v>267723</v>
      </c>
      <c r="D53" s="138" t="n">
        <f aca="false">227206+34032</f>
        <v>261238</v>
      </c>
      <c r="E53" s="138" t="n">
        <f aca="false">215364+28274</f>
        <v>243638</v>
      </c>
      <c r="F53" s="138" t="n">
        <f aca="false">207235+25128</f>
        <v>232363</v>
      </c>
      <c r="G53" s="138" t="n">
        <f aca="false">199906+22258</f>
        <v>222164</v>
      </c>
      <c r="I53" s="133" t="s">
        <v>195</v>
      </c>
      <c r="J53" s="133"/>
      <c r="K53" s="133"/>
      <c r="L53" s="133"/>
      <c r="M53" s="133"/>
      <c r="N53" s="133"/>
    </row>
    <row r="54" customFormat="false" ht="21" hidden="false" customHeight="true" outlineLevel="0" collapsed="false">
      <c r="A54" s="121" t="s">
        <v>221</v>
      </c>
      <c r="B54" s="134" t="n">
        <f aca="false">SUM(B50:B53)</f>
        <v>1150049</v>
      </c>
      <c r="C54" s="134" t="n">
        <f aca="false">SUM(C49:C53)</f>
        <v>1232239</v>
      </c>
      <c r="D54" s="134" t="n">
        <f aca="false">SUM(D49:D53)</f>
        <v>1286695</v>
      </c>
      <c r="E54" s="134" t="n">
        <f aca="false">SUM(E49:E53)</f>
        <v>1194579</v>
      </c>
      <c r="F54" s="134" t="n">
        <f aca="false">SUM(F49:F53)</f>
        <v>1121609</v>
      </c>
      <c r="G54" s="134" t="n">
        <f aca="false">SUM(G49:G53)</f>
        <v>1015033</v>
      </c>
      <c r="I54" s="95" t="n">
        <f aca="false">'0.DADES'!D37</f>
        <v>2005</v>
      </c>
      <c r="J54" s="95" t="n">
        <f aca="false">'0.DADES'!E37</f>
        <v>2006</v>
      </c>
      <c r="K54" s="95" t="n">
        <f aca="false">'0.DADES'!F37</f>
        <v>2007</v>
      </c>
      <c r="L54" s="95" t="n">
        <f aca="false">'0.DADES'!G37</f>
        <v>2008</v>
      </c>
      <c r="M54" s="95" t="n">
        <f aca="false">'0.DADES'!H37</f>
        <v>2009</v>
      </c>
      <c r="N54" s="95" t="n">
        <f aca="false">'0.DADES'!I37</f>
        <v>2010</v>
      </c>
    </row>
    <row r="55" customFormat="false" ht="21" hidden="false" customHeight="true" outlineLevel="0" collapsed="false">
      <c r="A55" s="127"/>
      <c r="B55" s="113" t="s">
        <v>191</v>
      </c>
      <c r="C55" s="141"/>
      <c r="D55" s="141"/>
      <c r="E55" s="141"/>
      <c r="F55" s="141"/>
      <c r="G55" s="141"/>
      <c r="I55" s="125" t="n">
        <f aca="false">'0.DADES'!D32/'0.DADES'!D33</f>
        <v>0.0125904304349041</v>
      </c>
      <c r="J55" s="125" t="n">
        <f aca="false">'0.DADES'!E32/'0.DADES'!E33</f>
        <v>0.0125982161261359</v>
      </c>
      <c r="K55" s="125" t="n">
        <f aca="false">'0.DADES'!F32/'0.DADES'!F33</f>
        <v>0.0125453141199146</v>
      </c>
      <c r="L55" s="125" t="n">
        <f aca="false">'0.DADES'!G32/'0.DADES'!G33</f>
        <v>0.0125521253109998</v>
      </c>
      <c r="M55" s="125" t="n">
        <f aca="false">'0.DADES'!H32/'0.DADES'!H33</f>
        <v>0.0125655552242471</v>
      </c>
      <c r="N55" s="125" t="n">
        <f aca="false">'0.DADES'!I32/'0.DADES'!I33</f>
        <v>0.0126160952905958</v>
      </c>
    </row>
    <row r="56" customFormat="false" ht="21" hidden="false" customHeight="true" outlineLevel="0" collapsed="false">
      <c r="A56" s="73" t="s">
        <v>222</v>
      </c>
      <c r="B56" s="99" t="n">
        <v>2005</v>
      </c>
      <c r="C56" s="99" t="n">
        <v>2006</v>
      </c>
      <c r="D56" s="99" t="n">
        <v>2007</v>
      </c>
      <c r="E56" s="99" t="n">
        <v>2008</v>
      </c>
      <c r="F56" s="99" t="n">
        <v>2009</v>
      </c>
      <c r="G56" s="99" t="n">
        <v>2010</v>
      </c>
      <c r="I56" s="139" t="s">
        <v>223</v>
      </c>
      <c r="J56" s="139"/>
      <c r="K56" s="139"/>
      <c r="L56" s="139"/>
      <c r="M56" s="139"/>
      <c r="N56" s="133"/>
    </row>
    <row r="57" customFormat="false" ht="13.5" hidden="false" customHeight="false" outlineLevel="0" collapsed="false">
      <c r="A57" s="114" t="s">
        <v>224</v>
      </c>
      <c r="B57" s="138" t="n">
        <v>21567</v>
      </c>
      <c r="C57" s="138" t="n">
        <v>18611</v>
      </c>
      <c r="D57" s="138" t="n">
        <v>18104</v>
      </c>
      <c r="E57" s="138" t="n">
        <v>20815</v>
      </c>
      <c r="F57" s="138" t="n">
        <v>0</v>
      </c>
      <c r="G57" s="142" t="n">
        <v>0</v>
      </c>
      <c r="I57" s="95" t="n">
        <f aca="false">'0.DADES'!D37</f>
        <v>2005</v>
      </c>
      <c r="J57" s="95" t="n">
        <f aca="false">'0.DADES'!E37</f>
        <v>2006</v>
      </c>
      <c r="K57" s="95" t="n">
        <f aca="false">'0.DADES'!F37</f>
        <v>2007</v>
      </c>
      <c r="L57" s="95" t="n">
        <f aca="false">'0.DADES'!G37</f>
        <v>2008</v>
      </c>
      <c r="M57" s="95" t="n">
        <f aca="false">'0.DADES'!H37</f>
        <v>2009</v>
      </c>
      <c r="N57" s="95" t="n">
        <f aca="false">'0.DADES'!I37</f>
        <v>2010</v>
      </c>
    </row>
    <row r="58" customFormat="false" ht="21" hidden="false" customHeight="true" outlineLevel="0" collapsed="false">
      <c r="A58" s="114" t="s">
        <v>49</v>
      </c>
      <c r="B58" s="143" t="n">
        <v>203</v>
      </c>
      <c r="C58" s="138" t="n">
        <v>184</v>
      </c>
      <c r="D58" s="138" t="n">
        <v>187</v>
      </c>
      <c r="E58" s="138" t="n">
        <v>215</v>
      </c>
      <c r="F58" s="138" t="n">
        <v>0</v>
      </c>
      <c r="G58" s="142" t="n">
        <v>0</v>
      </c>
      <c r="I58" s="125" t="n">
        <f aca="false">('0.DADES'!D17-'0.DADES'!D22)/('0.DADES'!D24-'0.DADES'!D29)</f>
        <v>0.0136409493721848</v>
      </c>
      <c r="J58" s="125" t="n">
        <f aca="false">'0.DADES'!E17/'0.DADES'!E24</f>
        <v>0.0141896631834042</v>
      </c>
      <c r="K58" s="125" t="n">
        <f aca="false">'0.DADES'!F17/'0.DADES'!F24</f>
        <v>0.0144544391826087</v>
      </c>
      <c r="L58" s="125" t="n">
        <f aca="false">'0.DADES'!G17/'0.DADES'!G24</f>
        <v>0.0147751575260869</v>
      </c>
      <c r="M58" s="125" t="n">
        <f aca="false">'0.DADES'!H17/'0.DADES'!H24</f>
        <v>0.0147682039729852</v>
      </c>
      <c r="N58" s="125" t="n">
        <f aca="false">'0.DADES'!I17/'0.DADES'!I24</f>
        <v>0.0148851351060363</v>
      </c>
    </row>
    <row r="59" customFormat="false" ht="21" hidden="false" customHeight="true" outlineLevel="0" collapsed="false">
      <c r="A59" s="121" t="s">
        <v>221</v>
      </c>
      <c r="B59" s="134" t="n">
        <f aca="false">SUM(B57:B58)</f>
        <v>21770</v>
      </c>
      <c r="C59" s="134" t="n">
        <f aca="false">SUM(C57:C58)</f>
        <v>18795</v>
      </c>
      <c r="D59" s="134" t="n">
        <f aca="false">SUM(D57:D58)</f>
        <v>18291</v>
      </c>
      <c r="E59" s="134" t="n">
        <f aca="false">SUM(E57:E58)</f>
        <v>21030</v>
      </c>
      <c r="F59" s="134" t="n">
        <f aca="false">SUM(F57:F58)</f>
        <v>0</v>
      </c>
      <c r="G59" s="134" t="n">
        <f aca="false">SUM(G57:G58)</f>
        <v>0</v>
      </c>
      <c r="I59" s="139" t="s">
        <v>225</v>
      </c>
      <c r="J59" s="139"/>
      <c r="K59" s="139"/>
      <c r="L59" s="139"/>
      <c r="M59" s="139"/>
      <c r="N59" s="133"/>
    </row>
    <row r="60" customFormat="false" ht="21" hidden="false" customHeight="true" outlineLevel="0" collapsed="false">
      <c r="A60" s="144"/>
      <c r="B60" s="145"/>
      <c r="C60" s="145"/>
      <c r="D60" s="145"/>
      <c r="E60" s="145"/>
      <c r="F60" s="145"/>
      <c r="G60" s="145"/>
      <c r="I60" s="95" t="n">
        <f aca="false">I57</f>
        <v>2005</v>
      </c>
      <c r="J60" s="95" t="n">
        <f aca="false">J57</f>
        <v>2006</v>
      </c>
      <c r="K60" s="95" t="n">
        <f aca="false">K57</f>
        <v>2007</v>
      </c>
      <c r="L60" s="95" t="n">
        <f aca="false">L57</f>
        <v>2008</v>
      </c>
      <c r="M60" s="95" t="n">
        <f aca="false">M57</f>
        <v>2009</v>
      </c>
      <c r="N60" s="95" t="n">
        <f aca="false">N57</f>
        <v>2010</v>
      </c>
    </row>
    <row r="61" customFormat="false" ht="25.5" hidden="false" customHeight="true" outlineLevel="0" collapsed="false">
      <c r="A61" s="146" t="s">
        <v>226</v>
      </c>
      <c r="B61" s="99" t="n">
        <v>2005</v>
      </c>
      <c r="C61" s="99" t="n">
        <v>2006</v>
      </c>
      <c r="D61" s="99" t="n">
        <v>2007</v>
      </c>
      <c r="E61" s="99" t="n">
        <v>2008</v>
      </c>
      <c r="F61" s="99" t="n">
        <v>2009</v>
      </c>
      <c r="G61" s="99" t="n">
        <v>2010</v>
      </c>
      <c r="I61" s="125" t="n">
        <f aca="false">'0.DADES'!D22/'0.DADES'!D29</f>
        <v>0.00808960796515246</v>
      </c>
      <c r="J61" s="125" t="n">
        <f aca="false">'0.DADES'!E22/'0.DADES'!E29</f>
        <v>0.00695187165775401</v>
      </c>
      <c r="K61" s="125" t="n">
        <f aca="false">'0.DADES'!F22/'0.DADES'!F29</f>
        <v>0.00636942675159236</v>
      </c>
      <c r="L61" s="125" t="n">
        <f aca="false">'0.DADES'!G22/'0.DADES'!G29</f>
        <v>0.00644468313641246</v>
      </c>
      <c r="M61" s="125" t="n">
        <f aca="false">'0.DADES'!H22/'0.DADES'!H29</f>
        <v>0.00549148819330038</v>
      </c>
      <c r="N61" s="125" t="n">
        <f aca="false">'0.DADES'!I22/'0.DADES'!I29</f>
        <v>0.00455321570859419</v>
      </c>
    </row>
    <row r="62" customFormat="false" ht="21.75" hidden="false" customHeight="true" outlineLevel="0" collapsed="false">
      <c r="A62" s="114" t="s">
        <v>143</v>
      </c>
      <c r="B62" s="147" t="n">
        <f aca="false">B50/(B50+B53)</f>
        <v>0.580004905267031</v>
      </c>
      <c r="C62" s="147" t="n">
        <f aca="false">C50/(C50+C53)</f>
        <v>0.592712043095488</v>
      </c>
      <c r="D62" s="147" t="n">
        <f aca="false">D50/(D50+D53)</f>
        <v>0.611907305094238</v>
      </c>
      <c r="E62" s="147" t="n">
        <f aca="false">E50/(E50+E53)</f>
        <v>0.622035199851072</v>
      </c>
      <c r="F62" s="147" t="n">
        <f aca="false">F50/(F50+F53)</f>
        <v>0.622693010915066</v>
      </c>
      <c r="G62" s="147" t="n">
        <f aca="false">G50/(G50+G53)</f>
        <v>0.626450638768668</v>
      </c>
      <c r="H62" s="148"/>
      <c r="I62" s="139" t="s">
        <v>227</v>
      </c>
      <c r="J62" s="139"/>
      <c r="K62" s="139"/>
      <c r="L62" s="139"/>
      <c r="M62" s="139"/>
    </row>
    <row r="63" customFormat="false" ht="21.75" hidden="false" customHeight="true" outlineLevel="0" collapsed="false">
      <c r="A63" s="114" t="s">
        <v>228</v>
      </c>
      <c r="B63" s="147" t="n">
        <f aca="false">B53/(B50+B53)</f>
        <v>0.41999509473297</v>
      </c>
      <c r="C63" s="147" t="n">
        <f aca="false">C53/(C50+C53)</f>
        <v>0.407287956904512</v>
      </c>
      <c r="D63" s="147" t="n">
        <f aca="false">D53/(D50+D53)</f>
        <v>0.388092694905762</v>
      </c>
      <c r="E63" s="147" t="n">
        <f aca="false">E53/(E50+E53)</f>
        <v>0.377964800148928</v>
      </c>
      <c r="F63" s="147" t="n">
        <f aca="false">F53/(F50+F53)</f>
        <v>0.377306989084934</v>
      </c>
      <c r="G63" s="147" t="n">
        <f aca="false">G53/(G50+G53)</f>
        <v>0.373549361231332</v>
      </c>
      <c r="H63" s="145"/>
      <c r="J63" s="95" t="n">
        <v>2005</v>
      </c>
      <c r="K63" s="95" t="n">
        <v>2006</v>
      </c>
      <c r="L63" s="95" t="n">
        <v>2007</v>
      </c>
      <c r="M63" s="95" t="n">
        <v>2008</v>
      </c>
      <c r="N63" s="95" t="n">
        <v>2009</v>
      </c>
      <c r="O63" s="95" t="n">
        <v>2010</v>
      </c>
    </row>
    <row r="64" customFormat="false" ht="21.75" hidden="false" customHeight="true" outlineLevel="0" collapsed="false">
      <c r="A64" s="144"/>
      <c r="B64" s="145"/>
      <c r="C64" s="145"/>
      <c r="D64" s="145"/>
      <c r="E64" s="145"/>
      <c r="F64" s="145"/>
      <c r="G64" s="145"/>
      <c r="H64" s="131"/>
      <c r="I64" s="114" t="s">
        <v>219</v>
      </c>
      <c r="J64" s="125" t="n">
        <f aca="false">B57/$B$59</f>
        <v>0.990675241157556</v>
      </c>
      <c r="K64" s="125" t="n">
        <f aca="false">C57/$C$59</f>
        <v>0.990210162277201</v>
      </c>
      <c r="L64" s="125" t="n">
        <f aca="false">D57/$D$59</f>
        <v>0.989776392761467</v>
      </c>
      <c r="M64" s="125" t="n">
        <f aca="false">E57/$E$59</f>
        <v>0.989776509747979</v>
      </c>
      <c r="N64" s="125" t="n">
        <v>0</v>
      </c>
      <c r="O64" s="125" t="n">
        <v>0</v>
      </c>
    </row>
    <row r="65" customFormat="false" ht="21.75" hidden="false" customHeight="true" outlineLevel="0" collapsed="false">
      <c r="A65" s="127"/>
      <c r="B65" s="131"/>
      <c r="C65" s="131"/>
      <c r="D65" s="131"/>
      <c r="E65" s="131"/>
      <c r="F65" s="131"/>
      <c r="G65" s="131"/>
      <c r="I65" s="114" t="s">
        <v>49</v>
      </c>
      <c r="J65" s="125" t="n">
        <f aca="false">B58/$B$59</f>
        <v>0.00932475884244373</v>
      </c>
      <c r="K65" s="125" t="n">
        <f aca="false">C58/$C$59</f>
        <v>0.00978983772279862</v>
      </c>
      <c r="L65" s="125" t="n">
        <f aca="false">D58/$D$59</f>
        <v>0.0102236072385326</v>
      </c>
      <c r="M65" s="125" t="n">
        <f aca="false">E58/$E$59</f>
        <v>0.0102234902520209</v>
      </c>
      <c r="N65" s="125" t="n">
        <v>0</v>
      </c>
      <c r="O65" s="125" t="n">
        <v>0</v>
      </c>
    </row>
    <row r="66" customFormat="false" ht="21.75" hidden="false" customHeight="true" outlineLevel="0" collapsed="false">
      <c r="A66" s="83" t="s">
        <v>183</v>
      </c>
      <c r="B66" s="113" t="s">
        <v>184</v>
      </c>
    </row>
    <row r="67" customFormat="false" ht="21.75" hidden="false" customHeight="true" outlineLevel="0" collapsed="false">
      <c r="A67" s="114" t="s">
        <v>229</v>
      </c>
      <c r="B67" s="99" t="n">
        <f aca="false">'0.DADES'!D42</f>
        <v>0.267</v>
      </c>
      <c r="C67" s="99" t="n">
        <f aca="false">'0.DADES'!E42</f>
        <v>0.267</v>
      </c>
      <c r="D67" s="99" t="n">
        <f aca="false">'0.DADES'!F42</f>
        <v>0.267</v>
      </c>
      <c r="E67" s="99" t="n">
        <f aca="false">'0.DADES'!G42</f>
        <v>0.267</v>
      </c>
      <c r="F67" s="99" t="n">
        <f aca="false">'0.DADES'!H42</f>
        <v>0.267</v>
      </c>
      <c r="G67" s="99" t="n">
        <f aca="false">'0.DADES'!I42</f>
        <v>0.267</v>
      </c>
    </row>
    <row r="68" customFormat="false" ht="21.75" hidden="false" customHeight="true" outlineLevel="0" collapsed="false">
      <c r="A68" s="114" t="s">
        <v>230</v>
      </c>
      <c r="B68" s="99" t="n">
        <f aca="false">'0.DADES'!D43</f>
        <v>0.249</v>
      </c>
      <c r="C68" s="99" t="n">
        <f aca="false">'0.DADES'!E43</f>
        <v>0.249</v>
      </c>
      <c r="D68" s="99" t="n">
        <f aca="false">'0.DADES'!F43</f>
        <v>0.249</v>
      </c>
      <c r="E68" s="99" t="n">
        <f aca="false">'0.DADES'!G43</f>
        <v>0.249</v>
      </c>
      <c r="F68" s="99" t="n">
        <f aca="false">'0.DADES'!H43</f>
        <v>0.249</v>
      </c>
      <c r="G68" s="99" t="n">
        <f aca="false">'0.DADES'!I43</f>
        <v>0.249</v>
      </c>
    </row>
    <row r="69" customFormat="false" ht="21.75" hidden="false" customHeight="true" outlineLevel="0" collapsed="false">
      <c r="A69" s="114" t="s">
        <v>231</v>
      </c>
      <c r="B69" s="99" t="n">
        <f aca="false">'0.DADES'!D44</f>
        <v>0.279</v>
      </c>
      <c r="C69" s="99" t="n">
        <f aca="false">'0.DADES'!E44</f>
        <v>0.279</v>
      </c>
      <c r="D69" s="99" t="n">
        <f aca="false">'0.DADES'!F44</f>
        <v>0.279</v>
      </c>
      <c r="E69" s="99" t="n">
        <f aca="false">'0.DADES'!G44</f>
        <v>0.279</v>
      </c>
      <c r="F69" s="99" t="n">
        <f aca="false">'0.DADES'!H44</f>
        <v>0.279</v>
      </c>
      <c r="G69" s="99" t="n">
        <f aca="false">'0.DADES'!I44</f>
        <v>0.279</v>
      </c>
    </row>
    <row r="70" customFormat="false" ht="21.75" hidden="false" customHeight="true" outlineLevel="0" collapsed="false">
      <c r="A70" s="83" t="s">
        <v>232</v>
      </c>
      <c r="B70" s="113"/>
    </row>
    <row r="71" customFormat="false" ht="21.75" hidden="false" customHeight="true" outlineLevel="0" collapsed="false">
      <c r="A71" s="75" t="s">
        <v>31</v>
      </c>
      <c r="B71" s="99" t="n">
        <f aca="false">B6</f>
        <v>2005</v>
      </c>
      <c r="C71" s="99" t="n">
        <f aca="false">C6</f>
        <v>2006</v>
      </c>
      <c r="D71" s="99" t="n">
        <f aca="false">D6</f>
        <v>2007</v>
      </c>
      <c r="E71" s="99" t="n">
        <f aca="false">E6</f>
        <v>2008</v>
      </c>
      <c r="F71" s="99" t="n">
        <f aca="false">F6</f>
        <v>2009</v>
      </c>
      <c r="G71" s="99" t="n">
        <f aca="false">G6</f>
        <v>2010</v>
      </c>
    </row>
    <row r="72" customFormat="false" ht="21.75" hidden="false" customHeight="true" outlineLevel="0" collapsed="false">
      <c r="A72" s="114" t="s">
        <v>65</v>
      </c>
      <c r="B72" s="134" t="n">
        <f aca="false">B7*$B$68</f>
        <v>0</v>
      </c>
      <c r="C72" s="134" t="n">
        <f aca="false">C7*$C$68</f>
        <v>0</v>
      </c>
      <c r="D72" s="134" t="n">
        <f aca="false">D7*$D$68</f>
        <v>0</v>
      </c>
      <c r="E72" s="134" t="n">
        <f aca="false">E7*$E$68</f>
        <v>0</v>
      </c>
      <c r="F72" s="134" t="n">
        <f aca="false">F7*$F$68</f>
        <v>0</v>
      </c>
      <c r="G72" s="134" t="n">
        <f aca="false">G7*$G$68</f>
        <v>0</v>
      </c>
    </row>
    <row r="73" customFormat="false" ht="21.75" hidden="false" customHeight="true" outlineLevel="0" collapsed="false">
      <c r="A73" s="114" t="s">
        <v>56</v>
      </c>
      <c r="B73" s="134" t="n">
        <f aca="false">B8*$B$68</f>
        <v>0</v>
      </c>
      <c r="C73" s="134" t="n">
        <f aca="false">C8*$C$68</f>
        <v>0</v>
      </c>
      <c r="D73" s="134" t="n">
        <f aca="false">D8*$D$68</f>
        <v>0</v>
      </c>
      <c r="E73" s="134" t="n">
        <f aca="false">E8*$E$68</f>
        <v>0</v>
      </c>
      <c r="F73" s="134" t="n">
        <f aca="false">F8*$F$68</f>
        <v>0</v>
      </c>
      <c r="G73" s="134" t="n">
        <f aca="false">G8*$G$68</f>
        <v>0</v>
      </c>
    </row>
    <row r="74" customFormat="false" ht="21.75" hidden="false" customHeight="true" outlineLevel="0" collapsed="false">
      <c r="A74" s="114" t="s">
        <v>49</v>
      </c>
      <c r="B74" s="134" t="n">
        <f aca="false">B9*$B$68</f>
        <v>0</v>
      </c>
      <c r="C74" s="134" t="n">
        <f aca="false">C9*$C$68</f>
        <v>0</v>
      </c>
      <c r="D74" s="134" t="n">
        <f aca="false">D9*$D$68</f>
        <v>0</v>
      </c>
      <c r="E74" s="134" t="n">
        <f aca="false">E9*$E$68</f>
        <v>0</v>
      </c>
      <c r="F74" s="134" t="n">
        <f aca="false">F9*$F$68</f>
        <v>0</v>
      </c>
      <c r="G74" s="134" t="n">
        <f aca="false">G9*$G$68</f>
        <v>0</v>
      </c>
    </row>
    <row r="75" customFormat="false" ht="21.75" hidden="false" customHeight="true" outlineLevel="0" collapsed="false">
      <c r="A75" s="114" t="s">
        <v>42</v>
      </c>
      <c r="B75" s="134" t="n">
        <f aca="false">B10*$B$68</f>
        <v>0</v>
      </c>
      <c r="C75" s="134" t="n">
        <f aca="false">C10*$C$68</f>
        <v>0</v>
      </c>
      <c r="D75" s="134" t="n">
        <f aca="false">D10*$D$68</f>
        <v>0</v>
      </c>
      <c r="E75" s="134" t="n">
        <f aca="false">E10*$E$68</f>
        <v>0</v>
      </c>
      <c r="F75" s="134" t="n">
        <f aca="false">F10*$F$68</f>
        <v>0</v>
      </c>
      <c r="G75" s="134" t="n">
        <f aca="false">G10*$G$68</f>
        <v>0</v>
      </c>
    </row>
    <row r="76" customFormat="false" ht="21.75" hidden="false" customHeight="true" outlineLevel="0" collapsed="false">
      <c r="A76" s="114" t="s">
        <v>44</v>
      </c>
      <c r="B76" s="134" t="n">
        <f aca="false">B11*$B$68</f>
        <v>8674.37102990949</v>
      </c>
      <c r="C76" s="134" t="n">
        <f aca="false">C11*$C$68</f>
        <v>8816.97531311874</v>
      </c>
      <c r="D76" s="134" t="n">
        <f aca="false">D11*$D$68</f>
        <v>8763.94112631185</v>
      </c>
      <c r="E76" s="134" t="n">
        <f aca="false">E11*$E$68</f>
        <v>8354.85660882202</v>
      </c>
      <c r="F76" s="134" t="n">
        <f aca="false">F11*$F$68</f>
        <v>7964.46323878046</v>
      </c>
      <c r="G76" s="134" t="n">
        <f aca="false">G11*$G$68</f>
        <v>7675.17562955173</v>
      </c>
    </row>
    <row r="77" customFormat="false" ht="21.75" hidden="false" customHeight="true" outlineLevel="0" collapsed="false">
      <c r="A77" s="121" t="s">
        <v>176</v>
      </c>
      <c r="B77" s="134" t="n">
        <f aca="false">SUM(B72:B76)</f>
        <v>8674.37102990949</v>
      </c>
      <c r="C77" s="134" t="n">
        <f aca="false">SUM(C72:C76)</f>
        <v>8816.97531311874</v>
      </c>
      <c r="D77" s="134" t="n">
        <f aca="false">SUM(D72:D76)</f>
        <v>8763.94112631185</v>
      </c>
      <c r="E77" s="134" t="n">
        <f aca="false">SUM(E72:E76)</f>
        <v>8354.85660882202</v>
      </c>
      <c r="F77" s="134" t="n">
        <f aca="false">SUM(F72:F76)</f>
        <v>7964.46323878046</v>
      </c>
      <c r="G77" s="134" t="n">
        <f aca="false">SUM(G72:G76)</f>
        <v>7675.17562955173</v>
      </c>
    </row>
    <row r="78" customFormat="false" ht="21.75" hidden="false" customHeight="true" outlineLevel="0" collapsed="false">
      <c r="A78" s="121" t="s">
        <v>177</v>
      </c>
      <c r="B78" s="134" t="n">
        <f aca="false">B74+B75+B76</f>
        <v>8674.37102990949</v>
      </c>
      <c r="C78" s="134" t="n">
        <f aca="false">C74+C75+C76</f>
        <v>8816.97531311874</v>
      </c>
      <c r="D78" s="134" t="n">
        <f aca="false">D74+D75+D76</f>
        <v>8763.94112631185</v>
      </c>
      <c r="E78" s="134" t="n">
        <f aca="false">E74+E75+E76</f>
        <v>8354.85660882202</v>
      </c>
      <c r="F78" s="134" t="n">
        <f aca="false">F74+F75+F76</f>
        <v>7964.46323878046</v>
      </c>
      <c r="G78" s="134" t="n">
        <f aca="false">G74+G75+G76</f>
        <v>7675.17562955173</v>
      </c>
    </row>
    <row r="79" customFormat="false" ht="21.75" hidden="false" customHeight="true" outlineLevel="0" collapsed="false">
      <c r="A79" s="127"/>
      <c r="B79" s="1"/>
      <c r="C79" s="1"/>
      <c r="D79" s="1"/>
      <c r="E79" s="1"/>
      <c r="F79" s="1"/>
      <c r="G79" s="1"/>
    </row>
    <row r="80" customFormat="false" ht="21.75" hidden="false" customHeight="true" outlineLevel="0" collapsed="false">
      <c r="A80" s="149" t="s">
        <v>233</v>
      </c>
      <c r="B80" s="1"/>
      <c r="C80" s="1"/>
      <c r="D80" s="1"/>
      <c r="E80" s="1"/>
      <c r="F80" s="1"/>
      <c r="G80" s="1"/>
    </row>
    <row r="81" customFormat="false" ht="21.75" hidden="false" customHeight="true" outlineLevel="0" collapsed="false">
      <c r="A81" s="75" t="s">
        <v>31</v>
      </c>
      <c r="B81" s="99" t="n">
        <f aca="false">B16</f>
        <v>2005</v>
      </c>
      <c r="C81" s="99" t="n">
        <f aca="false">C16</f>
        <v>2006</v>
      </c>
      <c r="D81" s="99" t="n">
        <f aca="false">D16</f>
        <v>2007</v>
      </c>
      <c r="E81" s="99" t="n">
        <f aca="false">E16</f>
        <v>2008</v>
      </c>
      <c r="F81" s="99" t="n">
        <f aca="false">F16</f>
        <v>2009</v>
      </c>
      <c r="G81" s="99" t="n">
        <f aca="false">G16</f>
        <v>2010</v>
      </c>
    </row>
    <row r="82" customFormat="false" ht="21.75" hidden="false" customHeight="true" outlineLevel="0" collapsed="false">
      <c r="A82" s="114" t="s">
        <v>65</v>
      </c>
      <c r="B82" s="134" t="n">
        <f aca="false">B17*$B$67</f>
        <v>1703.04824296764</v>
      </c>
      <c r="C82" s="134" t="n">
        <f aca="false">C17*$C$67</f>
        <v>1494.93003315882</v>
      </c>
      <c r="D82" s="134" t="n">
        <f aca="false">D17*$D$67</f>
        <v>1327.92750842675</v>
      </c>
      <c r="E82" s="134" t="n">
        <f aca="false">E17*$E$67</f>
        <v>1284.4680893362</v>
      </c>
      <c r="F82" s="134" t="n">
        <f aca="false">F17*$F$67</f>
        <v>1046.65626192751</v>
      </c>
      <c r="G82" s="134" t="n">
        <f aca="false">G17*$G$67</f>
        <v>876.326598010245</v>
      </c>
    </row>
    <row r="83" customFormat="false" ht="21.75" hidden="false" customHeight="true" outlineLevel="0" collapsed="false">
      <c r="A83" s="114" t="s">
        <v>56</v>
      </c>
      <c r="B83" s="134" t="n">
        <f aca="false">B18*$B$67</f>
        <v>2418.73369306591</v>
      </c>
      <c r="C83" s="134" t="n">
        <f aca="false">C18*$C$67</f>
        <v>2936.64317702881</v>
      </c>
      <c r="D83" s="134" t="n">
        <f aca="false">D18*$D$67</f>
        <v>3221.29872591956</v>
      </c>
      <c r="E83" s="134" t="n">
        <f aca="false">E18*$E$67</f>
        <v>2822.44788366849</v>
      </c>
      <c r="F83" s="134" t="n">
        <f aca="false">F18*$F$67</f>
        <v>2608.28067190456</v>
      </c>
      <c r="G83" s="134" t="n">
        <f aca="false">G18*$G$67</f>
        <v>2064.64659370289</v>
      </c>
    </row>
    <row r="84" customFormat="false" ht="21.75" hidden="false" customHeight="true" outlineLevel="0" collapsed="false">
      <c r="A84" s="114" t="s">
        <v>49</v>
      </c>
      <c r="B84" s="134" t="n">
        <f aca="false">B19*$B$67</f>
        <v>7153.52954833435</v>
      </c>
      <c r="C84" s="134" t="n">
        <f aca="false">C19*$C$67</f>
        <v>8410.89750369483</v>
      </c>
      <c r="D84" s="134" t="n">
        <f aca="false">D19*$D$67</f>
        <v>9141.22297829023</v>
      </c>
      <c r="E84" s="134" t="n">
        <f aca="false">E19*$E$67</f>
        <v>8055.29749380364</v>
      </c>
      <c r="F84" s="134" t="n">
        <f aca="false">F19*$F$67</f>
        <v>7367.21637381931</v>
      </c>
      <c r="G84" s="134" t="n">
        <f aca="false">G19*$G$67</f>
        <v>5936.14082387941</v>
      </c>
    </row>
    <row r="85" customFormat="false" ht="21.75" hidden="false" customHeight="true" outlineLevel="0" collapsed="false">
      <c r="A85" s="114" t="s">
        <v>42</v>
      </c>
      <c r="B85" s="134" t="n">
        <f aca="false">B20*$B$67</f>
        <v>5643.63943995881</v>
      </c>
      <c r="C85" s="134" t="n">
        <f aca="false">C20*$C$67</f>
        <v>6851.94915642084</v>
      </c>
      <c r="D85" s="134" t="n">
        <f aca="false">D20*$D$67</f>
        <v>7516.45440651332</v>
      </c>
      <c r="E85" s="134" t="n">
        <f aca="false">E20*$E$67</f>
        <v>6585.71172855981</v>
      </c>
      <c r="F85" s="134" t="n">
        <f aca="false">F20*$F$67</f>
        <v>6086.07844267084</v>
      </c>
      <c r="G85" s="134" t="n">
        <f aca="false">G20*$G$67</f>
        <v>4817.49155775713</v>
      </c>
    </row>
    <row r="86" customFormat="false" ht="21" hidden="false" customHeight="true" outlineLevel="0" collapsed="false">
      <c r="A86" s="114" t="s">
        <v>44</v>
      </c>
      <c r="B86" s="134" t="n">
        <f aca="false">B21*$B$67</f>
        <v>13950.3173035147</v>
      </c>
      <c r="C86" s="134" t="n">
        <f aca="false">C21*$C$67</f>
        <v>14942.4031948914</v>
      </c>
      <c r="D86" s="134" t="n">
        <f aca="false">D21*$D$67</f>
        <v>16091.9348068219</v>
      </c>
      <c r="E86" s="134" t="n">
        <f aca="false">E21*$E$67</f>
        <v>16012.5776669785</v>
      </c>
      <c r="F86" s="134" t="n">
        <f aca="false">F21*$F$67</f>
        <v>15307.1485352866</v>
      </c>
      <c r="G86" s="134" t="n">
        <f aca="false">G21*$G$67</f>
        <v>14989.4543413932</v>
      </c>
    </row>
    <row r="87" customFormat="false" ht="21" hidden="false" customHeight="true" outlineLevel="0" collapsed="false">
      <c r="A87" s="121" t="s">
        <v>176</v>
      </c>
      <c r="B87" s="134" t="n">
        <f aca="false">SUM(B82:B86)</f>
        <v>30869.2682278414</v>
      </c>
      <c r="C87" s="134" t="n">
        <f aca="false">SUM(C82:C86)</f>
        <v>34636.8230651947</v>
      </c>
      <c r="D87" s="134" t="n">
        <f aca="false">SUM(D82:D86)</f>
        <v>37298.8384259717</v>
      </c>
      <c r="E87" s="134" t="n">
        <f aca="false">SUM(E82:E86)</f>
        <v>34760.5028623467</v>
      </c>
      <c r="F87" s="134" t="n">
        <f aca="false">SUM(F82:F86)</f>
        <v>32415.3802856088</v>
      </c>
      <c r="G87" s="134" t="n">
        <f aca="false">SUM(G82:G86)</f>
        <v>28684.0599147429</v>
      </c>
    </row>
    <row r="88" customFormat="false" ht="21" hidden="false" customHeight="true" outlineLevel="0" collapsed="false">
      <c r="A88" s="121" t="s">
        <v>177</v>
      </c>
      <c r="B88" s="134" t="n">
        <f aca="false">B84+B85+B86</f>
        <v>26747.4862918079</v>
      </c>
      <c r="C88" s="134" t="n">
        <f aca="false">C84+C85+C86</f>
        <v>30205.249855007</v>
      </c>
      <c r="D88" s="134" t="n">
        <f aca="false">D84+D85+D86</f>
        <v>32749.6121916254</v>
      </c>
      <c r="E88" s="134" t="n">
        <f aca="false">E84+E85+E86</f>
        <v>30653.586889342</v>
      </c>
      <c r="F88" s="134" t="n">
        <f aca="false">F84+F85+F86</f>
        <v>28760.4433517767</v>
      </c>
      <c r="G88" s="134" t="n">
        <f aca="false">G84+G85+G86</f>
        <v>25743.0867230297</v>
      </c>
    </row>
    <row r="89" customFormat="false" ht="21" hidden="false" customHeight="true" outlineLevel="0" collapsed="false">
      <c r="A89" s="127"/>
      <c r="B89" s="1"/>
      <c r="C89" s="1"/>
      <c r="D89" s="1"/>
      <c r="E89" s="1"/>
      <c r="F89" s="1"/>
      <c r="G89" s="1"/>
    </row>
    <row r="90" customFormat="false" ht="21" hidden="false" customHeight="true" outlineLevel="0" collapsed="false">
      <c r="A90" s="83" t="s">
        <v>234</v>
      </c>
      <c r="B90" s="113"/>
    </row>
    <row r="91" customFormat="false" ht="21" hidden="false" customHeight="true" outlineLevel="0" collapsed="false">
      <c r="A91" s="75" t="s">
        <v>31</v>
      </c>
      <c r="B91" s="99" t="n">
        <v>2005</v>
      </c>
      <c r="C91" s="99" t="n">
        <v>2006</v>
      </c>
      <c r="D91" s="99" t="n">
        <v>2007</v>
      </c>
      <c r="E91" s="99" t="n">
        <v>2008</v>
      </c>
      <c r="F91" s="99" t="n">
        <v>2009</v>
      </c>
      <c r="G91" s="99" t="n">
        <v>2010</v>
      </c>
    </row>
    <row r="92" customFormat="false" ht="21" hidden="false" customHeight="true" outlineLevel="0" collapsed="false">
      <c r="A92" s="114" t="s">
        <v>65</v>
      </c>
      <c r="B92" s="99" t="n">
        <f aca="false">B28*B69</f>
        <v>0</v>
      </c>
      <c r="C92" s="99" t="n">
        <f aca="false">C28*C69</f>
        <v>0</v>
      </c>
      <c r="D92" s="99" t="n">
        <f aca="false">D28*D69</f>
        <v>0</v>
      </c>
      <c r="E92" s="99" t="n">
        <f aca="false">E28*E69</f>
        <v>0</v>
      </c>
      <c r="F92" s="99" t="n">
        <f aca="false">F28*F69</f>
        <v>0</v>
      </c>
      <c r="G92" s="99" t="n">
        <f aca="false">G28*G69</f>
        <v>0</v>
      </c>
    </row>
    <row r="93" customFormat="false" ht="21" hidden="false" customHeight="true" outlineLevel="0" collapsed="false">
      <c r="A93" s="114" t="s">
        <v>56</v>
      </c>
      <c r="B93" s="134" t="n">
        <f aca="false">B33*B69</f>
        <v>943.830950344547</v>
      </c>
      <c r="C93" s="134" t="n">
        <f aca="false">C33*C69</f>
        <v>841.181680611108</v>
      </c>
      <c r="D93" s="134" t="n">
        <f aca="false">D33*D69</f>
        <v>828.347182767713</v>
      </c>
      <c r="E93" s="134" t="n">
        <f aca="false">E33*E69</f>
        <v>940.322499310876</v>
      </c>
      <c r="F93" s="134" t="n">
        <f aca="false">F33*F69</f>
        <v>0</v>
      </c>
      <c r="G93" s="134" t="n">
        <f aca="false">G33*G69</f>
        <v>0</v>
      </c>
    </row>
    <row r="94" customFormat="false" ht="21" hidden="false" customHeight="true" outlineLevel="0" collapsed="false">
      <c r="A94" s="114" t="s">
        <v>49</v>
      </c>
      <c r="B94" s="134" t="n">
        <f aca="false">B30*B69</f>
        <v>0.0836119474599058</v>
      </c>
      <c r="C94" s="134" t="n">
        <f aca="false">C30*C69</f>
        <v>0.0822135848331716</v>
      </c>
      <c r="D94" s="134" t="n">
        <f aca="false">D30*D69</f>
        <v>0.0883690522393922</v>
      </c>
      <c r="E94" s="134" t="n">
        <f aca="false">E30*E69</f>
        <v>0.100312391567398</v>
      </c>
      <c r="F94" s="134" t="n">
        <f aca="false">F30*F69</f>
        <v>0</v>
      </c>
      <c r="G94" s="134" t="n">
        <f aca="false">G30*G69</f>
        <v>0</v>
      </c>
    </row>
    <row r="95" customFormat="false" ht="21" hidden="false" customHeight="true" outlineLevel="0" collapsed="false">
      <c r="A95" s="114" t="s">
        <v>42</v>
      </c>
      <c r="B95" s="134" t="n">
        <f aca="false">B31*B69</f>
        <v>0</v>
      </c>
      <c r="C95" s="134" t="n">
        <f aca="false">C31*C69</f>
        <v>0</v>
      </c>
      <c r="D95" s="134" t="n">
        <f aca="false">D31*D69</f>
        <v>0</v>
      </c>
      <c r="E95" s="134" t="n">
        <f aca="false">E31*E69</f>
        <v>0</v>
      </c>
      <c r="F95" s="134" t="n">
        <f aca="false">F31*F69</f>
        <v>0</v>
      </c>
      <c r="G95" s="134" t="n">
        <f aca="false">G31*G69</f>
        <v>0</v>
      </c>
    </row>
    <row r="96" customFormat="false" ht="21" hidden="false" customHeight="true" outlineLevel="0" collapsed="false">
      <c r="A96" s="114" t="s">
        <v>44</v>
      </c>
      <c r="B96" s="134" t="n">
        <f aca="false">B32*B69</f>
        <v>0</v>
      </c>
      <c r="C96" s="134" t="n">
        <f aca="false">C32*C69</f>
        <v>0</v>
      </c>
      <c r="D96" s="134" t="n">
        <f aca="false">D32*D69</f>
        <v>0</v>
      </c>
      <c r="E96" s="134" t="n">
        <f aca="false">E32*E69</f>
        <v>0</v>
      </c>
      <c r="F96" s="134" t="n">
        <f aca="false">F32*F69</f>
        <v>0</v>
      </c>
      <c r="G96" s="134" t="n">
        <f aca="false">G32*G69</f>
        <v>0</v>
      </c>
    </row>
    <row r="97" customFormat="false" ht="21" hidden="false" customHeight="true" outlineLevel="0" collapsed="false">
      <c r="A97" s="121" t="s">
        <v>176</v>
      </c>
      <c r="B97" s="134" t="n">
        <f aca="false">SUM(B93:B94)</f>
        <v>943.914562292007</v>
      </c>
      <c r="C97" s="134" t="n">
        <f aca="false">SUM(C93:C94)</f>
        <v>841.263894195941</v>
      </c>
      <c r="D97" s="134" t="n">
        <f aca="false">SUM(D93:D94)</f>
        <v>828.435551819953</v>
      </c>
      <c r="E97" s="134" t="n">
        <f aca="false">SUM(E93:E94)</f>
        <v>940.422811702444</v>
      </c>
      <c r="F97" s="134" t="n">
        <f aca="false">SUM(F93:F94)</f>
        <v>0</v>
      </c>
      <c r="G97" s="134" t="n">
        <f aca="false">SUM(G93:G94)</f>
        <v>0</v>
      </c>
    </row>
    <row r="98" customFormat="false" ht="21" hidden="false" customHeight="true" outlineLevel="0" collapsed="false">
      <c r="A98" s="121" t="s">
        <v>177</v>
      </c>
      <c r="B98" s="134" t="n">
        <f aca="false">B94</f>
        <v>0.0836119474599058</v>
      </c>
      <c r="C98" s="134" t="n">
        <f aca="false">C94</f>
        <v>0.0822135848331716</v>
      </c>
      <c r="D98" s="134" t="n">
        <f aca="false">D94</f>
        <v>0.0883690522393922</v>
      </c>
      <c r="E98" s="134" t="n">
        <f aca="false">E94</f>
        <v>0.100312391567398</v>
      </c>
      <c r="F98" s="134" t="n">
        <f aca="false">F94</f>
        <v>0</v>
      </c>
      <c r="G98" s="134" t="n">
        <f aca="false">G94</f>
        <v>0</v>
      </c>
    </row>
  </sheetData>
  <mergeCells count="1">
    <mergeCell ref="B3:F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sheetPr filterMode="false">
    <tabColor rgb="FF92D050"/>
    <pageSetUpPr fitToPage="false"/>
  </sheetPr>
  <dimension ref="A1:H8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40" activeCellId="0" sqref="G40"/>
    </sheetView>
  </sheetViews>
  <sheetFormatPr defaultRowHeight="11.25"/>
  <cols>
    <col collapsed="false" hidden="false" max="1" min="1" style="150" width="15.5255102040816"/>
    <col collapsed="false" hidden="false" max="2" min="2" style="150" width="16.6020408163265"/>
    <col collapsed="false" hidden="false" max="1025" min="3" style="150" width="15.5255102040816"/>
  </cols>
  <sheetData>
    <row r="1" s="73" customFormat="true" ht="13.5" hidden="false" customHeight="false" outlineLevel="0" collapsed="false">
      <c r="A1" s="83" t="str">
        <f aca="false">'0.DADES'!D2</f>
        <v>Andratx</v>
      </c>
      <c r="H1" s="104" t="s">
        <v>166</v>
      </c>
    </row>
    <row r="2" s="73" customFormat="true" ht="13.5" hidden="false" customHeight="false" outlineLevel="0" collapsed="false">
      <c r="A2" s="150"/>
      <c r="H2" s="107" t="s">
        <v>167</v>
      </c>
    </row>
    <row r="3" s="73" customFormat="true" ht="24" hidden="false" customHeight="false" outlineLevel="0" collapsed="false">
      <c r="A3" s="75" t="s">
        <v>168</v>
      </c>
      <c r="B3" s="77" t="s">
        <v>235</v>
      </c>
      <c r="C3" s="77"/>
      <c r="D3" s="77"/>
      <c r="E3" s="77"/>
      <c r="F3" s="77"/>
      <c r="H3" s="108" t="s">
        <v>170</v>
      </c>
    </row>
    <row r="4" s="73" customFormat="true" ht="13.5" hidden="false" customHeight="false" outlineLevel="0" collapsed="false">
      <c r="A4" s="150"/>
      <c r="B4" s="150"/>
      <c r="C4" s="150"/>
      <c r="D4" s="150"/>
      <c r="E4" s="150"/>
      <c r="F4" s="150"/>
      <c r="H4" s="150"/>
    </row>
    <row r="5" customFormat="false" ht="13.5" hidden="false" customHeight="false" outlineLevel="0" collapsed="false">
      <c r="A5" s="113" t="s">
        <v>173</v>
      </c>
    </row>
    <row r="7" customFormat="false" ht="13.5" hidden="false" customHeight="false" outlineLevel="0" collapsed="false">
      <c r="A7" s="83" t="s">
        <v>236</v>
      </c>
    </row>
    <row r="8" customFormat="false" ht="13.5" hidden="false" customHeight="false" outlineLevel="0" collapsed="false">
      <c r="A8" s="83"/>
    </row>
    <row r="9" customFormat="false" ht="27" hidden="false" customHeight="false" outlineLevel="0" collapsed="false">
      <c r="A9" s="151" t="s">
        <v>237</v>
      </c>
      <c r="B9" s="151" t="s">
        <v>238</v>
      </c>
      <c r="C9" s="95" t="n">
        <f aca="false">'0.DADES'!D8</f>
        <v>2005</v>
      </c>
      <c r="D9" s="95" t="n">
        <f aca="false">'0.DADES'!E8</f>
        <v>2006</v>
      </c>
      <c r="E9" s="95" t="n">
        <f aca="false">'0.DADES'!F8</f>
        <v>2007</v>
      </c>
      <c r="F9" s="95" t="n">
        <f aca="false">'0.DADES'!G8</f>
        <v>2008</v>
      </c>
      <c r="G9" s="95" t="n">
        <f aca="false">'0.DADES'!H8</f>
        <v>2009</v>
      </c>
      <c r="H9" s="95" t="n">
        <f aca="false">'0.DADES'!I8</f>
        <v>2010</v>
      </c>
    </row>
    <row r="10" customFormat="false" ht="13.5" hidden="false" customHeight="true" outlineLevel="0" collapsed="false">
      <c r="A10" s="151" t="s">
        <v>239</v>
      </c>
      <c r="B10" s="151" t="s">
        <v>240</v>
      </c>
      <c r="C10" s="152" t="n">
        <v>2</v>
      </c>
      <c r="D10" s="152" t="n">
        <v>2</v>
      </c>
      <c r="E10" s="152" t="n">
        <v>2</v>
      </c>
      <c r="F10" s="152" t="n">
        <v>6</v>
      </c>
      <c r="G10" s="152" t="n">
        <v>6</v>
      </c>
      <c r="H10" s="152" t="n">
        <v>6</v>
      </c>
    </row>
    <row r="11" customFormat="false" ht="27" hidden="false" customHeight="false" outlineLevel="0" collapsed="false">
      <c r="A11" s="151"/>
      <c r="B11" s="151" t="s">
        <v>241</v>
      </c>
      <c r="C11" s="152" t="n">
        <f aca="false">7.1+2</f>
        <v>9.1</v>
      </c>
      <c r="D11" s="152" t="n">
        <f aca="false">7.1+2</f>
        <v>9.1</v>
      </c>
      <c r="E11" s="152" t="n">
        <f aca="false">7.1+2</f>
        <v>9.1</v>
      </c>
      <c r="F11" s="152" t="n">
        <f aca="false">7.1+2+5+5+5+36</f>
        <v>60.1</v>
      </c>
      <c r="G11" s="152" t="n">
        <f aca="false">7.1+2+5+5+5+36</f>
        <v>60.1</v>
      </c>
      <c r="H11" s="152" t="n">
        <f aca="false">7.1+2+5+5+5+36</f>
        <v>60.1</v>
      </c>
    </row>
    <row r="12" customFormat="false" ht="13.5" hidden="false" customHeight="true" outlineLevel="0" collapsed="false">
      <c r="A12" s="151" t="s">
        <v>242</v>
      </c>
      <c r="B12" s="151" t="s">
        <v>240</v>
      </c>
      <c r="C12" s="152" t="n">
        <v>0</v>
      </c>
      <c r="D12" s="152" t="n">
        <v>0</v>
      </c>
      <c r="E12" s="152" t="n">
        <v>0</v>
      </c>
      <c r="F12" s="152" t="n">
        <v>0</v>
      </c>
      <c r="G12" s="152" t="n">
        <v>0</v>
      </c>
      <c r="H12" s="152" t="n">
        <v>0</v>
      </c>
    </row>
    <row r="13" customFormat="false" ht="27" hidden="false" customHeight="false" outlineLevel="0" collapsed="false">
      <c r="A13" s="151"/>
      <c r="B13" s="151" t="s">
        <v>243</v>
      </c>
      <c r="C13" s="152" t="n">
        <v>0</v>
      </c>
      <c r="D13" s="152" t="n">
        <v>0</v>
      </c>
      <c r="E13" s="152" t="n">
        <v>0</v>
      </c>
      <c r="F13" s="152" t="n">
        <v>0</v>
      </c>
      <c r="G13" s="152" t="n">
        <v>0</v>
      </c>
      <c r="H13" s="152" t="n">
        <v>0</v>
      </c>
    </row>
    <row r="14" customFormat="false" ht="13.5" hidden="false" customHeight="false" outlineLevel="0" collapsed="false">
      <c r="A14" s="83"/>
    </row>
    <row r="15" s="73" customFormat="true" ht="13.5" hidden="false" customHeight="false" outlineLevel="0" collapsed="false">
      <c r="A15" s="75" t="s">
        <v>31</v>
      </c>
      <c r="B15" s="95" t="n">
        <f aca="false">'0.DADES'!D8</f>
        <v>2005</v>
      </c>
      <c r="C15" s="95" t="n">
        <f aca="false">'0.DADES'!E8</f>
        <v>2006</v>
      </c>
      <c r="D15" s="95" t="n">
        <f aca="false">'0.DADES'!F8</f>
        <v>2007</v>
      </c>
      <c r="E15" s="95" t="n">
        <f aca="false">'0.DADES'!G8</f>
        <v>2008</v>
      </c>
      <c r="F15" s="95" t="n">
        <f aca="false">'0.DADES'!H8</f>
        <v>2009</v>
      </c>
      <c r="G15" s="95" t="n">
        <f aca="false">'0.DADES'!I8</f>
        <v>2010</v>
      </c>
    </row>
    <row r="16" customFormat="false" ht="13.5" hidden="false" customHeight="false" outlineLevel="0" collapsed="false">
      <c r="A16" s="114" t="s">
        <v>244</v>
      </c>
      <c r="B16" s="153" t="n">
        <f aca="false">(9230+2600)/1000</f>
        <v>11.83</v>
      </c>
      <c r="C16" s="153" t="n">
        <f aca="false">(9230+2600)/1000</f>
        <v>11.83</v>
      </c>
      <c r="D16" s="153" t="n">
        <f aca="false">(9230+2600)/1000</f>
        <v>11.83</v>
      </c>
      <c r="E16" s="154" t="n">
        <f aca="false">9.23+2.6+((6.5+6.5+6.5+46.8)/12)*4</f>
        <v>33.93</v>
      </c>
      <c r="F16" s="153" t="n">
        <f aca="false">(9230+2600+6500+6500+6500+46800)/1000</f>
        <v>78.13</v>
      </c>
      <c r="G16" s="153" t="n">
        <f aca="false">(9230+2600+6500+6500+6500+46800)/1000</f>
        <v>78.13</v>
      </c>
    </row>
    <row r="17" customFormat="false" ht="13.5" hidden="false" customHeight="false" outlineLevel="0" collapsed="false">
      <c r="A17" s="114" t="s">
        <v>245</v>
      </c>
      <c r="B17" s="153" t="n">
        <v>0</v>
      </c>
      <c r="C17" s="153" t="n">
        <v>0</v>
      </c>
      <c r="D17" s="153" t="n">
        <v>0</v>
      </c>
      <c r="E17" s="153" t="n">
        <v>0</v>
      </c>
      <c r="F17" s="153" t="n">
        <v>0</v>
      </c>
      <c r="G17" s="153" t="n">
        <v>0</v>
      </c>
    </row>
    <row r="18" customFormat="false" ht="13.5" hidden="false" customHeight="false" outlineLevel="0" collapsed="false">
      <c r="A18" s="114" t="s">
        <v>246</v>
      </c>
      <c r="B18" s="153" t="n">
        <v>0</v>
      </c>
      <c r="C18" s="153" t="n">
        <v>0</v>
      </c>
      <c r="D18" s="153" t="n">
        <v>0</v>
      </c>
      <c r="E18" s="153" t="n">
        <v>0</v>
      </c>
      <c r="F18" s="153" t="n">
        <v>0</v>
      </c>
      <c r="G18" s="153" t="n">
        <v>0</v>
      </c>
    </row>
    <row r="19" customFormat="false" ht="13.5" hidden="false" customHeight="false" outlineLevel="0" collapsed="false">
      <c r="A19" s="114" t="s">
        <v>247</v>
      </c>
      <c r="B19" s="153" t="n">
        <v>0</v>
      </c>
      <c r="C19" s="153" t="n">
        <v>0</v>
      </c>
      <c r="D19" s="153" t="n">
        <v>0</v>
      </c>
      <c r="E19" s="153" t="n">
        <v>0</v>
      </c>
      <c r="F19" s="153" t="n">
        <v>0</v>
      </c>
      <c r="G19" s="153" t="n">
        <v>0</v>
      </c>
    </row>
    <row r="20" customFormat="false" ht="13.5" hidden="false" customHeight="false" outlineLevel="0" collapsed="false">
      <c r="A20" s="121" t="s">
        <v>176</v>
      </c>
      <c r="B20" s="99" t="n">
        <f aca="false">SUM(B16:B19)</f>
        <v>11.83</v>
      </c>
      <c r="C20" s="99" t="n">
        <f aca="false">SUM(C16:C19)</f>
        <v>11.83</v>
      </c>
      <c r="D20" s="99" t="n">
        <f aca="false">SUM(D16:D19)</f>
        <v>11.83</v>
      </c>
      <c r="E20" s="99" t="n">
        <f aca="false">SUM(E16:E19)</f>
        <v>33.93</v>
      </c>
      <c r="F20" s="99" t="n">
        <f aca="false">SUM(F16:F19)</f>
        <v>78.13</v>
      </c>
      <c r="G20" s="99" t="n">
        <f aca="false">SUM(G16:G19)</f>
        <v>78.13</v>
      </c>
    </row>
    <row r="23" customFormat="false" ht="13.5" hidden="false" customHeight="false" outlineLevel="0" collapsed="false">
      <c r="A23" s="75" t="s">
        <v>248</v>
      </c>
      <c r="B23" s="95" t="n">
        <v>2005</v>
      </c>
      <c r="C23" s="95" t="n">
        <v>2006</v>
      </c>
      <c r="D23" s="95" t="n">
        <v>2007</v>
      </c>
      <c r="E23" s="95" t="n">
        <v>2008</v>
      </c>
      <c r="F23" s="95" t="n">
        <v>2009</v>
      </c>
      <c r="G23" s="95" t="n">
        <v>2010</v>
      </c>
    </row>
    <row r="24" customFormat="false" ht="13.5" hidden="false" customHeight="false" outlineLevel="0" collapsed="false">
      <c r="A24" s="114" t="s">
        <v>244</v>
      </c>
      <c r="B24" s="115" t="n">
        <f aca="false">B16*B80</f>
        <v>9.982154</v>
      </c>
      <c r="C24" s="115" t="n">
        <f aca="false">C16*C80</f>
        <v>10.746372</v>
      </c>
      <c r="D24" s="115" t="n">
        <f aca="false">D16*D80</f>
        <v>9.713613</v>
      </c>
      <c r="E24" s="115" t="n">
        <f aca="false">E16*E80</f>
        <v>28.066896</v>
      </c>
      <c r="F24" s="115" t="n">
        <f aca="false">F16*F80</f>
        <v>66.262053</v>
      </c>
      <c r="G24" s="115" t="n">
        <f aca="false">G16*G80</f>
        <v>66.262053</v>
      </c>
    </row>
    <row r="25" customFormat="false" ht="13.5" hidden="false" customHeight="false" outlineLevel="0" collapsed="false">
      <c r="A25" s="114" t="s">
        <v>245</v>
      </c>
      <c r="B25" s="115" t="n">
        <v>0</v>
      </c>
      <c r="C25" s="115" t="n">
        <v>0</v>
      </c>
      <c r="D25" s="115" t="n">
        <v>0</v>
      </c>
      <c r="E25" s="115" t="n">
        <v>0</v>
      </c>
      <c r="F25" s="115" t="n">
        <v>0</v>
      </c>
      <c r="G25" s="115" t="n">
        <v>0</v>
      </c>
    </row>
    <row r="26" customFormat="false" ht="13.5" hidden="false" customHeight="false" outlineLevel="0" collapsed="false">
      <c r="A26" s="114" t="s">
        <v>246</v>
      </c>
      <c r="B26" s="115"/>
      <c r="C26" s="115"/>
      <c r="D26" s="115"/>
      <c r="E26" s="115"/>
      <c r="F26" s="115"/>
      <c r="G26" s="115"/>
    </row>
    <row r="27" customFormat="false" ht="13.5" hidden="false" customHeight="false" outlineLevel="0" collapsed="false">
      <c r="A27" s="114" t="s">
        <v>247</v>
      </c>
      <c r="B27" s="115" t="n">
        <v>0</v>
      </c>
      <c r="C27" s="115" t="n">
        <v>0</v>
      </c>
      <c r="D27" s="115" t="n">
        <v>0</v>
      </c>
      <c r="E27" s="115" t="n">
        <v>0</v>
      </c>
      <c r="F27" s="115" t="n">
        <v>0</v>
      </c>
      <c r="G27" s="115" t="n">
        <v>0</v>
      </c>
    </row>
    <row r="28" customFormat="false" ht="13.5" hidden="false" customHeight="false" outlineLevel="0" collapsed="false">
      <c r="A28" s="121" t="s">
        <v>176</v>
      </c>
      <c r="B28" s="115" t="n">
        <f aca="false">SUM(B24:B27)</f>
        <v>9.982154</v>
      </c>
      <c r="C28" s="115" t="n">
        <f aca="false">SUM(C24:C27)</f>
        <v>10.746372</v>
      </c>
      <c r="D28" s="115" t="n">
        <f aca="false">SUM(D24:D27)</f>
        <v>9.713613</v>
      </c>
      <c r="E28" s="115" t="n">
        <f aca="false">SUM(E24:E27)</f>
        <v>28.066896</v>
      </c>
      <c r="F28" s="115" t="n">
        <f aca="false">SUM(F24:F27)</f>
        <v>66.262053</v>
      </c>
      <c r="G28" s="115" t="n">
        <f aca="false">SUM(G24:G27)</f>
        <v>66.262053</v>
      </c>
    </row>
    <row r="30" customFormat="false" ht="13.5" hidden="false" customHeight="false" outlineLevel="0" collapsed="false">
      <c r="A30" s="83" t="s">
        <v>249</v>
      </c>
    </row>
    <row r="31" customFormat="false" ht="13.5" hidden="false" customHeight="false" outlineLevel="0" collapsed="false">
      <c r="A31" s="83"/>
    </row>
    <row r="32" customFormat="false" ht="27" hidden="false" customHeight="false" outlineLevel="0" collapsed="false">
      <c r="A32" s="151" t="s">
        <v>237</v>
      </c>
      <c r="B32" s="151" t="s">
        <v>238</v>
      </c>
      <c r="C32" s="95" t="n">
        <v>2005</v>
      </c>
      <c r="D32" s="95" t="n">
        <v>2006</v>
      </c>
      <c r="E32" s="95" t="n">
        <v>2007</v>
      </c>
      <c r="F32" s="95" t="n">
        <v>2008</v>
      </c>
      <c r="G32" s="95" t="n">
        <v>2009</v>
      </c>
      <c r="H32" s="95" t="n">
        <v>2010</v>
      </c>
    </row>
    <row r="33" customFormat="false" ht="13.5" hidden="false" customHeight="true" outlineLevel="0" collapsed="false">
      <c r="A33" s="151" t="s">
        <v>239</v>
      </c>
      <c r="B33" s="151" t="s">
        <v>240</v>
      </c>
      <c r="C33" s="152" t="n">
        <v>2</v>
      </c>
      <c r="D33" s="152" t="n">
        <v>2</v>
      </c>
      <c r="E33" s="152" t="n">
        <v>2</v>
      </c>
      <c r="F33" s="152" t="n">
        <v>6</v>
      </c>
      <c r="G33" s="152" t="n">
        <v>6</v>
      </c>
      <c r="H33" s="152" t="n">
        <v>6</v>
      </c>
    </row>
    <row r="34" customFormat="false" ht="27" hidden="false" customHeight="false" outlineLevel="0" collapsed="false">
      <c r="A34" s="151"/>
      <c r="B34" s="151" t="s">
        <v>241</v>
      </c>
      <c r="C34" s="152" t="n">
        <v>9.1</v>
      </c>
      <c r="D34" s="152" t="n">
        <v>9.1</v>
      </c>
      <c r="E34" s="152" t="n">
        <v>9.1</v>
      </c>
      <c r="F34" s="152" t="n">
        <v>60.1</v>
      </c>
      <c r="G34" s="152" t="n">
        <v>60.1</v>
      </c>
      <c r="H34" s="152" t="n">
        <v>60.1</v>
      </c>
    </row>
    <row r="35" customFormat="false" ht="13.5" hidden="false" customHeight="true" outlineLevel="0" collapsed="false">
      <c r="A35" s="151" t="s">
        <v>242</v>
      </c>
      <c r="B35" s="151" t="s">
        <v>240</v>
      </c>
      <c r="C35" s="152" t="n">
        <v>0</v>
      </c>
      <c r="D35" s="152" t="n">
        <v>0</v>
      </c>
      <c r="E35" s="152" t="n">
        <v>0</v>
      </c>
      <c r="F35" s="152" t="n">
        <v>0</v>
      </c>
      <c r="G35" s="152" t="n">
        <v>0</v>
      </c>
      <c r="H35" s="152" t="n">
        <v>0</v>
      </c>
    </row>
    <row r="36" customFormat="false" ht="27" hidden="false" customHeight="false" outlineLevel="0" collapsed="false">
      <c r="A36" s="151"/>
      <c r="B36" s="151" t="s">
        <v>243</v>
      </c>
      <c r="C36" s="152" t="n">
        <v>0</v>
      </c>
      <c r="D36" s="152" t="n">
        <v>0</v>
      </c>
      <c r="E36" s="152" t="n">
        <v>0</v>
      </c>
      <c r="F36" s="152" t="n">
        <v>0</v>
      </c>
      <c r="G36" s="152" t="n">
        <v>0</v>
      </c>
      <c r="H36" s="152" t="n">
        <v>0</v>
      </c>
    </row>
    <row r="37" customFormat="false" ht="13.5" hidden="false" customHeight="false" outlineLevel="0" collapsed="false">
      <c r="A37" s="83"/>
    </row>
    <row r="38" s="73" customFormat="true" ht="13.5" hidden="false" customHeight="false" outlineLevel="0" collapsed="false">
      <c r="A38" s="75" t="s">
        <v>31</v>
      </c>
      <c r="B38" s="95" t="n">
        <f aca="false">'0.DADES'!D8</f>
        <v>2005</v>
      </c>
      <c r="C38" s="95" t="n">
        <f aca="false">'0.DADES'!E8</f>
        <v>2006</v>
      </c>
      <c r="D38" s="95" t="n">
        <f aca="false">'0.DADES'!F8</f>
        <v>2007</v>
      </c>
      <c r="E38" s="95" t="n">
        <f aca="false">'0.DADES'!G8</f>
        <v>2008</v>
      </c>
      <c r="F38" s="95" t="n">
        <f aca="false">'0.DADES'!H8</f>
        <v>2009</v>
      </c>
      <c r="G38" s="95" t="n">
        <f aca="false">'0.DADES'!I8</f>
        <v>2010</v>
      </c>
    </row>
    <row r="39" customFormat="false" ht="13.5" hidden="false" customHeight="false" outlineLevel="0" collapsed="false">
      <c r="A39" s="114" t="s">
        <v>244</v>
      </c>
      <c r="B39" s="153" t="n">
        <v>11.83</v>
      </c>
      <c r="C39" s="153" t="n">
        <v>11.83</v>
      </c>
      <c r="D39" s="154" t="n">
        <v>11.83</v>
      </c>
      <c r="E39" s="153" t="n">
        <v>33.93</v>
      </c>
      <c r="F39" s="153" t="n">
        <v>78.13</v>
      </c>
      <c r="G39" s="153" t="n">
        <v>78.13</v>
      </c>
    </row>
    <row r="40" customFormat="false" ht="13.5" hidden="false" customHeight="false" outlineLevel="0" collapsed="false">
      <c r="A40" s="114" t="s">
        <v>245</v>
      </c>
      <c r="B40" s="153" t="n">
        <v>0</v>
      </c>
      <c r="C40" s="153" t="n">
        <v>0</v>
      </c>
      <c r="D40" s="153" t="n">
        <v>0</v>
      </c>
      <c r="E40" s="153" t="n">
        <v>0</v>
      </c>
      <c r="F40" s="153" t="n">
        <v>0</v>
      </c>
      <c r="G40" s="153" t="n">
        <v>0</v>
      </c>
    </row>
    <row r="41" customFormat="false" ht="13.5" hidden="false" customHeight="false" outlineLevel="0" collapsed="false">
      <c r="A41" s="114" t="s">
        <v>246</v>
      </c>
      <c r="B41" s="153" t="n">
        <v>0</v>
      </c>
      <c r="C41" s="153" t="n">
        <v>0</v>
      </c>
      <c r="D41" s="153" t="n">
        <v>0</v>
      </c>
      <c r="E41" s="153" t="n">
        <v>0</v>
      </c>
      <c r="F41" s="153" t="n">
        <v>0</v>
      </c>
      <c r="G41" s="153" t="n">
        <v>0</v>
      </c>
    </row>
    <row r="42" customFormat="false" ht="13.5" hidden="false" customHeight="false" outlineLevel="0" collapsed="false">
      <c r="A42" s="114" t="s">
        <v>247</v>
      </c>
      <c r="B42" s="153" t="n">
        <v>0</v>
      </c>
      <c r="C42" s="153" t="n">
        <v>0</v>
      </c>
      <c r="D42" s="153" t="n">
        <v>0</v>
      </c>
      <c r="E42" s="153" t="n">
        <v>0</v>
      </c>
      <c r="F42" s="153" t="n">
        <v>0</v>
      </c>
      <c r="G42" s="153" t="n">
        <v>0</v>
      </c>
    </row>
    <row r="43" customFormat="false" ht="13.5" hidden="false" customHeight="false" outlineLevel="0" collapsed="false">
      <c r="A43" s="121" t="s">
        <v>177</v>
      </c>
      <c r="B43" s="99" t="n">
        <f aca="false">SUM(B39:B42)</f>
        <v>11.83</v>
      </c>
      <c r="C43" s="99" t="n">
        <f aca="false">SUM(C39:C42)</f>
        <v>11.83</v>
      </c>
      <c r="D43" s="99" t="n">
        <f aca="false">SUM(D39:D42)</f>
        <v>11.83</v>
      </c>
      <c r="E43" s="99" t="n">
        <f aca="false">SUM(E39:E42)</f>
        <v>33.93</v>
      </c>
      <c r="F43" s="99" t="n">
        <f aca="false">SUM(F39:F42)</f>
        <v>78.13</v>
      </c>
      <c r="G43" s="99" t="n">
        <f aca="false">SUM(G39:G42)</f>
        <v>78.13</v>
      </c>
    </row>
    <row r="45" customFormat="false" ht="13.5" hidden="false" customHeight="false" outlineLevel="0" collapsed="false">
      <c r="A45" s="75" t="s">
        <v>248</v>
      </c>
      <c r="B45" s="95" t="n">
        <v>2005</v>
      </c>
      <c r="C45" s="95" t="n">
        <v>2006</v>
      </c>
      <c r="D45" s="95" t="n">
        <v>2007</v>
      </c>
      <c r="E45" s="95" t="n">
        <v>2008</v>
      </c>
      <c r="F45" s="95" t="n">
        <v>2009</v>
      </c>
      <c r="G45" s="95" t="n">
        <v>2010</v>
      </c>
    </row>
    <row r="46" customFormat="false" ht="13.5" hidden="false" customHeight="false" outlineLevel="0" collapsed="false">
      <c r="A46" s="114" t="s">
        <v>244</v>
      </c>
      <c r="B46" s="115" t="n">
        <f aca="false">B39*B80</f>
        <v>9.982154</v>
      </c>
      <c r="C46" s="115" t="n">
        <f aca="false">C39*C80</f>
        <v>10.746372</v>
      </c>
      <c r="D46" s="115" t="n">
        <f aca="false">D39*D80</f>
        <v>9.713613</v>
      </c>
      <c r="E46" s="115" t="n">
        <f aca="false">E39*E80</f>
        <v>28.066896</v>
      </c>
      <c r="F46" s="115" t="n">
        <f aca="false">F39*F80</f>
        <v>66.262053</v>
      </c>
      <c r="G46" s="115" t="n">
        <f aca="false">G39*G80</f>
        <v>66.262053</v>
      </c>
    </row>
    <row r="47" customFormat="false" ht="13.5" hidden="false" customHeight="false" outlineLevel="0" collapsed="false">
      <c r="A47" s="114" t="s">
        <v>245</v>
      </c>
      <c r="B47" s="115" t="n">
        <v>0</v>
      </c>
      <c r="C47" s="115" t="n">
        <v>0</v>
      </c>
      <c r="D47" s="115" t="n">
        <v>0</v>
      </c>
      <c r="E47" s="115" t="n">
        <v>0</v>
      </c>
      <c r="F47" s="115" t="n">
        <v>0</v>
      </c>
      <c r="G47" s="115" t="n">
        <v>0</v>
      </c>
    </row>
    <row r="48" customFormat="false" ht="13.5" hidden="false" customHeight="false" outlineLevel="0" collapsed="false">
      <c r="A48" s="114" t="s">
        <v>246</v>
      </c>
      <c r="B48" s="115"/>
      <c r="C48" s="115"/>
      <c r="D48" s="115"/>
      <c r="E48" s="115"/>
      <c r="F48" s="115"/>
      <c r="G48" s="115"/>
    </row>
    <row r="49" customFormat="false" ht="13.5" hidden="false" customHeight="false" outlineLevel="0" collapsed="false">
      <c r="A49" s="114" t="s">
        <v>247</v>
      </c>
      <c r="B49" s="115" t="n">
        <v>0</v>
      </c>
      <c r="C49" s="115" t="n">
        <v>0</v>
      </c>
      <c r="D49" s="115" t="n">
        <v>0</v>
      </c>
      <c r="E49" s="115" t="n">
        <v>0</v>
      </c>
      <c r="F49" s="115" t="n">
        <v>0</v>
      </c>
      <c r="G49" s="115" t="n">
        <v>0</v>
      </c>
    </row>
    <row r="50" customFormat="false" ht="13.5" hidden="false" customHeight="false" outlineLevel="0" collapsed="false">
      <c r="A50" s="121" t="s">
        <v>177</v>
      </c>
      <c r="B50" s="115" t="n">
        <f aca="false">SUM(B46:B49)</f>
        <v>9.982154</v>
      </c>
      <c r="C50" s="115" t="n">
        <f aca="false">SUM(C46:C49)</f>
        <v>10.746372</v>
      </c>
      <c r="D50" s="115" t="n">
        <f aca="false">SUM(D46:D49)</f>
        <v>9.713613</v>
      </c>
      <c r="E50" s="115" t="n">
        <f aca="false">SUM(E46:E49)</f>
        <v>28.066896</v>
      </c>
      <c r="F50" s="115" t="n">
        <f aca="false">SUM(F46:F49)</f>
        <v>66.262053</v>
      </c>
      <c r="G50" s="115" t="n">
        <f aca="false">SUM(G46:G49)</f>
        <v>66.262053</v>
      </c>
    </row>
    <row r="53" customFormat="false" ht="13.5" hidden="false" customHeight="false" outlineLevel="0" collapsed="false">
      <c r="A53" s="83" t="s">
        <v>250</v>
      </c>
    </row>
    <row r="54" customFormat="false" ht="13.5" hidden="false" customHeight="false" outlineLevel="0" collapsed="false">
      <c r="A54" s="83"/>
    </row>
    <row r="55" customFormat="false" ht="27" hidden="false" customHeight="false" outlineLevel="0" collapsed="false">
      <c r="A55" s="151" t="s">
        <v>237</v>
      </c>
      <c r="B55" s="151" t="s">
        <v>238</v>
      </c>
      <c r="C55" s="99" t="n">
        <f aca="false">C9</f>
        <v>2005</v>
      </c>
      <c r="D55" s="99" t="n">
        <f aca="false">D9</f>
        <v>2006</v>
      </c>
      <c r="E55" s="99" t="n">
        <f aca="false">E9</f>
        <v>2007</v>
      </c>
      <c r="F55" s="99" t="n">
        <f aca="false">F9</f>
        <v>2008</v>
      </c>
      <c r="G55" s="99" t="n">
        <f aca="false">G9</f>
        <v>2009</v>
      </c>
      <c r="H55" s="99" t="n">
        <f aca="false">H9</f>
        <v>2010</v>
      </c>
    </row>
    <row r="56" customFormat="false" ht="13.5" hidden="false" customHeight="true" outlineLevel="0" collapsed="false">
      <c r="A56" s="151" t="s">
        <v>239</v>
      </c>
      <c r="B56" s="151" t="s">
        <v>240</v>
      </c>
      <c r="C56" s="152" t="n">
        <v>2</v>
      </c>
      <c r="D56" s="152" t="n">
        <v>2</v>
      </c>
      <c r="E56" s="152" t="n">
        <v>2</v>
      </c>
      <c r="F56" s="152" t="n">
        <v>6</v>
      </c>
      <c r="G56" s="152" t="n">
        <v>6</v>
      </c>
      <c r="H56" s="152" t="n">
        <v>6</v>
      </c>
    </row>
    <row r="57" customFormat="false" ht="27" hidden="false" customHeight="false" outlineLevel="0" collapsed="false">
      <c r="A57" s="151"/>
      <c r="B57" s="151" t="s">
        <v>241</v>
      </c>
      <c r="C57" s="152" t="n">
        <v>9.1</v>
      </c>
      <c r="D57" s="152" t="n">
        <v>9.1</v>
      </c>
      <c r="E57" s="152" t="n">
        <v>9.1</v>
      </c>
      <c r="F57" s="152" t="n">
        <v>60.1</v>
      </c>
      <c r="G57" s="152" t="n">
        <v>60.1</v>
      </c>
      <c r="H57" s="152" t="n">
        <v>60.1</v>
      </c>
    </row>
    <row r="58" customFormat="false" ht="13.5" hidden="false" customHeight="true" outlineLevel="0" collapsed="false">
      <c r="A58" s="151" t="s">
        <v>242</v>
      </c>
      <c r="B58" s="151" t="s">
        <v>240</v>
      </c>
      <c r="C58" s="152" t="n">
        <v>0</v>
      </c>
      <c r="D58" s="152" t="n">
        <v>0</v>
      </c>
      <c r="E58" s="152" t="n">
        <v>0</v>
      </c>
      <c r="F58" s="152" t="n">
        <v>0</v>
      </c>
      <c r="G58" s="152" t="n">
        <v>0</v>
      </c>
      <c r="H58" s="152" t="n">
        <v>0</v>
      </c>
    </row>
    <row r="59" customFormat="false" ht="27" hidden="false" customHeight="false" outlineLevel="0" collapsed="false">
      <c r="A59" s="151"/>
      <c r="B59" s="151" t="s">
        <v>243</v>
      </c>
      <c r="C59" s="152" t="n">
        <v>0</v>
      </c>
      <c r="D59" s="152" t="n">
        <v>0</v>
      </c>
      <c r="E59" s="152" t="n">
        <v>0</v>
      </c>
      <c r="F59" s="152" t="n">
        <v>0</v>
      </c>
      <c r="G59" s="152" t="n">
        <v>0</v>
      </c>
      <c r="H59" s="152" t="n">
        <v>0</v>
      </c>
    </row>
    <row r="60" customFormat="false" ht="13.5" hidden="false" customHeight="false" outlineLevel="0" collapsed="false">
      <c r="A60" s="83"/>
    </row>
    <row r="61" s="73" customFormat="true" ht="13.5" hidden="false" customHeight="false" outlineLevel="0" collapsed="false">
      <c r="A61" s="75" t="s">
        <v>31</v>
      </c>
      <c r="B61" s="99" t="n">
        <f aca="false">C9</f>
        <v>2005</v>
      </c>
      <c r="C61" s="99" t="n">
        <f aca="false">D9</f>
        <v>2006</v>
      </c>
      <c r="D61" s="99" t="n">
        <f aca="false">E9</f>
        <v>2007</v>
      </c>
      <c r="E61" s="99" t="n">
        <f aca="false">F9</f>
        <v>2008</v>
      </c>
      <c r="F61" s="99" t="n">
        <f aca="false">G9</f>
        <v>2009</v>
      </c>
      <c r="G61" s="99" t="n">
        <f aca="false">H9</f>
        <v>2010</v>
      </c>
    </row>
    <row r="62" customFormat="false" ht="13.5" hidden="false" customHeight="false" outlineLevel="0" collapsed="false">
      <c r="A62" s="114" t="s">
        <v>244</v>
      </c>
      <c r="B62" s="153" t="n">
        <v>11.83</v>
      </c>
      <c r="C62" s="153" t="n">
        <v>11.83</v>
      </c>
      <c r="D62" s="153" t="n">
        <v>11.83</v>
      </c>
      <c r="E62" s="153" t="n">
        <v>33.93</v>
      </c>
      <c r="F62" s="153" t="n">
        <v>78.13</v>
      </c>
      <c r="G62" s="153" t="n">
        <v>78.13</v>
      </c>
    </row>
    <row r="63" customFormat="false" ht="13.5" hidden="false" customHeight="false" outlineLevel="0" collapsed="false">
      <c r="A63" s="114" t="s">
        <v>245</v>
      </c>
      <c r="B63" s="153" t="n">
        <v>0</v>
      </c>
      <c r="C63" s="153" t="n">
        <v>0</v>
      </c>
      <c r="D63" s="153" t="n">
        <v>0</v>
      </c>
      <c r="E63" s="153" t="n">
        <v>0</v>
      </c>
      <c r="F63" s="153" t="n">
        <v>0</v>
      </c>
      <c r="G63" s="153" t="n">
        <v>0</v>
      </c>
    </row>
    <row r="64" customFormat="false" ht="13.5" hidden="false" customHeight="false" outlineLevel="0" collapsed="false">
      <c r="A64" s="114" t="s">
        <v>246</v>
      </c>
      <c r="B64" s="153" t="n">
        <v>0</v>
      </c>
      <c r="C64" s="153" t="n">
        <v>0</v>
      </c>
      <c r="D64" s="153" t="n">
        <v>0</v>
      </c>
      <c r="E64" s="153" t="n">
        <v>0</v>
      </c>
      <c r="F64" s="153" t="n">
        <v>0</v>
      </c>
      <c r="G64" s="153" t="n">
        <v>0</v>
      </c>
    </row>
    <row r="65" customFormat="false" ht="13.5" hidden="false" customHeight="false" outlineLevel="0" collapsed="false">
      <c r="A65" s="114" t="s">
        <v>247</v>
      </c>
      <c r="B65" s="153" t="n">
        <v>0</v>
      </c>
      <c r="C65" s="153" t="n">
        <v>0</v>
      </c>
      <c r="D65" s="153" t="n">
        <v>0</v>
      </c>
      <c r="E65" s="153" t="n">
        <v>0</v>
      </c>
      <c r="F65" s="153" t="n">
        <v>0</v>
      </c>
      <c r="G65" s="153" t="n">
        <v>0</v>
      </c>
    </row>
    <row r="66" customFormat="false" ht="13.5" hidden="false" customHeight="false" outlineLevel="0" collapsed="false">
      <c r="A66" s="121" t="s">
        <v>251</v>
      </c>
      <c r="B66" s="99" t="n">
        <f aca="false">SUM(B62:B65)</f>
        <v>11.83</v>
      </c>
      <c r="C66" s="99" t="n">
        <f aca="false">SUM(C62:C65)</f>
        <v>11.83</v>
      </c>
      <c r="D66" s="99" t="n">
        <f aca="false">SUM(D62:D65)</f>
        <v>11.83</v>
      </c>
      <c r="E66" s="99" t="n">
        <f aca="false">SUM(E62:E65)</f>
        <v>33.93</v>
      </c>
      <c r="F66" s="99" t="n">
        <f aca="false">SUM(F62:F65)</f>
        <v>78.13</v>
      </c>
      <c r="G66" s="99" t="n">
        <f aca="false">SUM(G62:G65)</f>
        <v>78.13</v>
      </c>
    </row>
    <row r="68" customFormat="false" ht="13.5" hidden="false" customHeight="false" outlineLevel="0" collapsed="false">
      <c r="A68" s="75" t="s">
        <v>248</v>
      </c>
      <c r="B68" s="99" t="n">
        <v>2005</v>
      </c>
      <c r="C68" s="99" t="n">
        <v>2006</v>
      </c>
      <c r="D68" s="99" t="n">
        <v>2007</v>
      </c>
      <c r="E68" s="99" t="n">
        <v>2008</v>
      </c>
      <c r="F68" s="99" t="n">
        <v>2009</v>
      </c>
      <c r="G68" s="99" t="n">
        <v>2010</v>
      </c>
    </row>
    <row r="69" customFormat="false" ht="13.5" hidden="false" customHeight="false" outlineLevel="0" collapsed="false">
      <c r="A69" s="114" t="s">
        <v>244</v>
      </c>
      <c r="B69" s="99" t="n">
        <f aca="false">B62*B80</f>
        <v>9.982154</v>
      </c>
      <c r="C69" s="99" t="n">
        <f aca="false">C62*C80</f>
        <v>10.746372</v>
      </c>
      <c r="D69" s="99" t="n">
        <f aca="false">D62*D80</f>
        <v>9.713613</v>
      </c>
      <c r="E69" s="99" t="n">
        <f aca="false">E62*E80</f>
        <v>28.066896</v>
      </c>
      <c r="F69" s="99" t="n">
        <f aca="false">F62*F80</f>
        <v>66.262053</v>
      </c>
      <c r="G69" s="99" t="n">
        <f aca="false">G62*G80</f>
        <v>66.262053</v>
      </c>
    </row>
    <row r="70" customFormat="false" ht="13.5" hidden="false" customHeight="false" outlineLevel="0" collapsed="false">
      <c r="A70" s="114" t="s">
        <v>245</v>
      </c>
      <c r="B70" s="99"/>
      <c r="C70" s="99"/>
      <c r="D70" s="99"/>
      <c r="E70" s="99"/>
      <c r="F70" s="99"/>
      <c r="G70" s="99"/>
    </row>
    <row r="71" customFormat="false" ht="13.5" hidden="false" customHeight="false" outlineLevel="0" collapsed="false">
      <c r="A71" s="114" t="s">
        <v>246</v>
      </c>
      <c r="B71" s="99"/>
      <c r="C71" s="99"/>
      <c r="D71" s="99"/>
      <c r="E71" s="99"/>
      <c r="F71" s="99"/>
      <c r="G71" s="99"/>
    </row>
    <row r="72" customFormat="false" ht="13.5" hidden="false" customHeight="false" outlineLevel="0" collapsed="false">
      <c r="A72" s="114" t="s">
        <v>247</v>
      </c>
      <c r="B72" s="99"/>
      <c r="C72" s="99"/>
      <c r="D72" s="99"/>
      <c r="E72" s="99"/>
      <c r="F72" s="99"/>
      <c r="G72" s="99"/>
    </row>
    <row r="73" customFormat="false" ht="13.5" hidden="false" customHeight="false" outlineLevel="0" collapsed="false">
      <c r="A73" s="121" t="s">
        <v>251</v>
      </c>
      <c r="B73" s="99" t="n">
        <f aca="false">SUM(B69:B72)</f>
        <v>9.982154</v>
      </c>
      <c r="C73" s="99" t="n">
        <f aca="false">SUM(C69:C72)</f>
        <v>10.746372</v>
      </c>
      <c r="D73" s="99" t="n">
        <f aca="false">SUM(D69:D72)</f>
        <v>9.713613</v>
      </c>
      <c r="E73" s="99" t="n">
        <f aca="false">SUM(E69:E72)</f>
        <v>28.066896</v>
      </c>
      <c r="F73" s="99" t="n">
        <f aca="false">SUM(F69:F72)</f>
        <v>66.262053</v>
      </c>
      <c r="G73" s="99" t="n">
        <f aca="false">SUM(G69:G72)</f>
        <v>66.262053</v>
      </c>
    </row>
    <row r="77" customFormat="false" ht="11.25" hidden="false" customHeight="false" outlineLevel="0" collapsed="false">
      <c r="H77" s="155"/>
    </row>
    <row r="78" customFormat="false" ht="12" hidden="false" customHeight="false" outlineLevel="0" collapsed="false">
      <c r="H78" s="155"/>
    </row>
    <row r="79" customFormat="false" ht="13.5" hidden="false" customHeight="false" outlineLevel="0" collapsed="false">
      <c r="A79" s="156" t="s">
        <v>252</v>
      </c>
      <c r="B79" s="157" t="n">
        <v>2005</v>
      </c>
      <c r="C79" s="157" t="n">
        <v>2006</v>
      </c>
      <c r="D79" s="157" t="n">
        <v>2007</v>
      </c>
      <c r="E79" s="157" t="n">
        <v>2008</v>
      </c>
      <c r="F79" s="157" t="n">
        <v>2009</v>
      </c>
      <c r="G79" s="158" t="n">
        <v>2010</v>
      </c>
      <c r="H79" s="105"/>
    </row>
    <row r="80" customFormat="false" ht="13.5" hidden="false" customHeight="false" outlineLevel="0" collapsed="false">
      <c r="A80" s="159" t="s">
        <v>253</v>
      </c>
      <c r="B80" s="160" t="n">
        <f aca="false">'0.DADES'!D39</f>
        <v>0.8438</v>
      </c>
      <c r="C80" s="160" t="n">
        <f aca="false">'0.DADES'!E39</f>
        <v>0.9084</v>
      </c>
      <c r="D80" s="160" t="n">
        <f aca="false">'0.DADES'!F39</f>
        <v>0.8211</v>
      </c>
      <c r="E80" s="160" t="n">
        <f aca="false">'0.DADES'!G39</f>
        <v>0.8272</v>
      </c>
      <c r="F80" s="160" t="n">
        <f aca="false">'0.DADES'!H39</f>
        <v>0.8481</v>
      </c>
      <c r="G80" s="160" t="n">
        <f aca="false">'0.DADES'!I39</f>
        <v>0.8481</v>
      </c>
      <c r="H80" s="161"/>
    </row>
  </sheetData>
  <mergeCells count="7">
    <mergeCell ref="B3:F3"/>
    <mergeCell ref="A10:A11"/>
    <mergeCell ref="A12:A13"/>
    <mergeCell ref="A33:A34"/>
    <mergeCell ref="A35:A36"/>
    <mergeCell ref="A56:A57"/>
    <mergeCell ref="A58:A59"/>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9.xml><?xml version="1.0" encoding="utf-8"?>
<worksheet xmlns="http://schemas.openxmlformats.org/spreadsheetml/2006/main" xmlns:r="http://schemas.openxmlformats.org/officeDocument/2006/relationships">
  <sheetPr filterMode="false">
    <tabColor rgb="FF92D050"/>
    <pageSetUpPr fitToPage="false"/>
  </sheetPr>
  <dimension ref="A1:O48"/>
  <sheetViews>
    <sheetView windowProtection="false"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G40" activeCellId="0" sqref="G40"/>
    </sheetView>
  </sheetViews>
  <sheetFormatPr defaultRowHeight="13.5"/>
  <cols>
    <col collapsed="false" hidden="false" max="1" min="1" style="73" width="42.3877551020408"/>
    <col collapsed="false" hidden="false" max="2" min="2" style="73" width="11.4744897959184"/>
    <col collapsed="false" hidden="false" max="3" min="3" style="73" width="11.2040816326531"/>
    <col collapsed="false" hidden="false" max="4" min="4" style="73" width="12.5561224489796"/>
    <col collapsed="false" hidden="false" max="6" min="5" style="73" width="11.2040816326531"/>
    <col collapsed="false" hidden="false" max="7" min="7" style="73" width="11.4744897959184"/>
    <col collapsed="false" hidden="false" max="8" min="8" style="73" width="15.6581632653061"/>
    <col collapsed="false" hidden="false" max="9" min="9" style="73" width="19.7091836734694"/>
    <col collapsed="false" hidden="false" max="1025" min="10" style="73" width="11.2040816326531"/>
  </cols>
  <sheetData>
    <row r="1" customFormat="false" ht="13.5" hidden="false" customHeight="false" outlineLevel="0" collapsed="false">
      <c r="A1" s="83" t="str">
        <f aca="false">'0.DADES'!D2</f>
        <v>Andratx</v>
      </c>
      <c r="H1" s="104" t="s">
        <v>166</v>
      </c>
    </row>
    <row r="2" customFormat="false" ht="13.5" hidden="false" customHeight="false" outlineLevel="0" collapsed="false">
      <c r="H2" s="107" t="s">
        <v>167</v>
      </c>
    </row>
    <row r="3" customFormat="false" ht="24" hidden="false" customHeight="false" outlineLevel="0" collapsed="false">
      <c r="A3" s="75" t="s">
        <v>168</v>
      </c>
      <c r="B3" s="77" t="s">
        <v>254</v>
      </c>
      <c r="C3" s="77"/>
      <c r="D3" s="77"/>
      <c r="E3" s="77"/>
      <c r="F3" s="77"/>
      <c r="H3" s="108" t="s">
        <v>170</v>
      </c>
    </row>
    <row r="5" customFormat="false" ht="21.75" hidden="false" customHeight="true" outlineLevel="0" collapsed="false">
      <c r="A5" s="83" t="s">
        <v>255</v>
      </c>
      <c r="B5" s="113" t="s">
        <v>256</v>
      </c>
      <c r="I5" s="73" t="s">
        <v>257</v>
      </c>
    </row>
    <row r="6" customFormat="false" ht="21.75" hidden="false" customHeight="true" outlineLevel="0" collapsed="false">
      <c r="A6" s="75" t="s">
        <v>31</v>
      </c>
      <c r="B6" s="95" t="n">
        <f aca="false">'0.DADES'!D8</f>
        <v>2005</v>
      </c>
      <c r="C6" s="95" t="n">
        <f aca="false">'0.DADES'!E8</f>
        <v>2006</v>
      </c>
      <c r="D6" s="95" t="n">
        <f aca="false">'0.DADES'!F8</f>
        <v>2007</v>
      </c>
      <c r="E6" s="95" t="n">
        <f aca="false">'0.DADES'!G8</f>
        <v>2008</v>
      </c>
      <c r="F6" s="95" t="n">
        <f aca="false">'0.DADES'!H8</f>
        <v>2009</v>
      </c>
      <c r="G6" s="95" t="n">
        <f aca="false">'0.DADES'!I8</f>
        <v>2010</v>
      </c>
      <c r="J6" s="95" t="n">
        <v>2005</v>
      </c>
      <c r="K6" s="95" t="n">
        <v>2006</v>
      </c>
      <c r="L6" s="95" t="n">
        <v>2007</v>
      </c>
      <c r="M6" s="95" t="n">
        <v>2008</v>
      </c>
      <c r="N6" s="95" t="n">
        <v>2009</v>
      </c>
      <c r="O6" s="95" t="n">
        <v>2010</v>
      </c>
    </row>
    <row r="7" customFormat="false" ht="21.75" hidden="false" customHeight="true" outlineLevel="0" collapsed="false">
      <c r="A7" s="114" t="s">
        <v>258</v>
      </c>
      <c r="B7" s="123" t="n">
        <v>8464.394</v>
      </c>
      <c r="C7" s="123" t="n">
        <v>9004.465</v>
      </c>
      <c r="D7" s="123" t="n">
        <v>9927.661</v>
      </c>
      <c r="E7" s="123" t="n">
        <v>8807.73</v>
      </c>
      <c r="F7" s="123" t="n">
        <v>7895.4</v>
      </c>
      <c r="G7" s="124" t="n">
        <v>7915.577</v>
      </c>
      <c r="I7" s="96" t="s">
        <v>128</v>
      </c>
      <c r="J7" s="132" t="n">
        <f aca="false">($B$11*J16)</f>
        <v>6.40432099272193</v>
      </c>
      <c r="K7" s="132" t="n">
        <f aca="false">($C$11*K16)</f>
        <v>8.94954282914861</v>
      </c>
      <c r="L7" s="132" t="n">
        <f aca="false">($D$11*L16)</f>
        <v>10.5173419154278</v>
      </c>
      <c r="M7" s="132" t="n">
        <f aca="false">($E$11*M16)</f>
        <v>12.185106154586</v>
      </c>
      <c r="N7" s="132" t="n">
        <f aca="false">($F$11*N16)</f>
        <v>14.9320236301437</v>
      </c>
      <c r="O7" s="132" t="n">
        <f aca="false">($G$11*O16)</f>
        <v>16.7409848145118</v>
      </c>
    </row>
    <row r="8" customFormat="false" ht="21.75" hidden="false" customHeight="true" outlineLevel="0" collapsed="false">
      <c r="A8" s="114" t="s">
        <v>259</v>
      </c>
      <c r="B8" s="123" t="n">
        <v>0</v>
      </c>
      <c r="C8" s="123" t="n">
        <v>0</v>
      </c>
      <c r="D8" s="123" t="n">
        <v>0</v>
      </c>
      <c r="E8" s="123" t="n">
        <v>0</v>
      </c>
      <c r="F8" s="123" t="n">
        <v>51.86</v>
      </c>
      <c r="G8" s="124" t="n">
        <v>44.64</v>
      </c>
      <c r="I8" s="96" t="s">
        <v>129</v>
      </c>
      <c r="J8" s="132" t="n">
        <f aca="false">($B$11*J17)</f>
        <v>14.7187375001973</v>
      </c>
      <c r="K8" s="132" t="n">
        <f aca="false">($C$11*K17)</f>
        <v>21.1661535690614</v>
      </c>
      <c r="L8" s="132" t="n">
        <f aca="false">($D$11*L17)</f>
        <v>23.1609821908117</v>
      </c>
      <c r="M8" s="132" t="n">
        <f aca="false">($E$11*M17)</f>
        <v>28.9668356495577</v>
      </c>
      <c r="N8" s="132" t="n">
        <f aca="false">($F$11*N17)</f>
        <v>41.5510095813842</v>
      </c>
      <c r="O8" s="132" t="n">
        <f aca="false">($G$11*O17)</f>
        <v>46.2280789423184</v>
      </c>
    </row>
    <row r="9" customFormat="false" ht="21.75" hidden="false" customHeight="true" outlineLevel="0" collapsed="false">
      <c r="A9" s="114" t="s">
        <v>260</v>
      </c>
      <c r="B9" s="123" t="n">
        <v>234.76</v>
      </c>
      <c r="C9" s="123" t="n">
        <v>280.375</v>
      </c>
      <c r="D9" s="123" t="n">
        <v>295.24</v>
      </c>
      <c r="E9" s="123" t="n">
        <v>311.16</v>
      </c>
      <c r="F9" s="123" t="n">
        <v>292.518</v>
      </c>
      <c r="G9" s="124" t="n">
        <v>309.6</v>
      </c>
      <c r="I9" s="96" t="s">
        <v>130</v>
      </c>
      <c r="J9" s="132" t="n">
        <f aca="false">($B$11*J18)</f>
        <v>8.82448512022229</v>
      </c>
      <c r="K9" s="132" t="n">
        <f aca="false">($C$11*K18)</f>
        <v>12.4131815365551</v>
      </c>
      <c r="L9" s="132" t="n">
        <f aca="false">($D$11*L18)</f>
        <v>14.9213853071002</v>
      </c>
      <c r="M9" s="132" t="n">
        <f aca="false">($E$11*M18)</f>
        <v>18.7305695335107</v>
      </c>
      <c r="N9" s="132" t="n">
        <f aca="false">($F$11*N18)</f>
        <v>22.7218615779981</v>
      </c>
      <c r="O9" s="132" t="n">
        <f aca="false">($G$11*O18)</f>
        <v>23.9872374582109</v>
      </c>
    </row>
    <row r="10" customFormat="false" ht="21.75" hidden="false" customHeight="true" outlineLevel="0" collapsed="false">
      <c r="A10" s="114" t="s">
        <v>127</v>
      </c>
      <c r="B10" s="123" t="n">
        <v>339.78</v>
      </c>
      <c r="C10" s="123" t="n">
        <v>404.64</v>
      </c>
      <c r="D10" s="123" t="n">
        <v>397.5</v>
      </c>
      <c r="E10" s="123" t="n">
        <v>435.74</v>
      </c>
      <c r="F10" s="123" t="n">
        <v>443.38</v>
      </c>
      <c r="G10" s="124" t="n">
        <v>417.051</v>
      </c>
      <c r="I10" s="96" t="s">
        <v>131</v>
      </c>
      <c r="J10" s="132" t="n">
        <f aca="false">($B$11*J19)</f>
        <v>2.92923900790957</v>
      </c>
      <c r="K10" s="132" t="n">
        <f aca="false">($C$11*K19)</f>
        <v>4.11876247905577</v>
      </c>
      <c r="L10" s="132" t="n">
        <f aca="false">($D$11*L19)</f>
        <v>5.53524233561323</v>
      </c>
      <c r="M10" s="132" t="n">
        <f aca="false">($E$11*M19)</f>
        <v>6.66108037219349</v>
      </c>
      <c r="N10" s="132" t="n">
        <f aca="false">($F$11*N19)</f>
        <v>8.07139392709546</v>
      </c>
      <c r="O10" s="132" t="n">
        <f aca="false">($G$11*O19)</f>
        <v>7.2119763960852</v>
      </c>
    </row>
    <row r="11" customFormat="false" ht="21.75" hidden="false" customHeight="true" outlineLevel="0" collapsed="false">
      <c r="A11" s="114" t="s">
        <v>261</v>
      </c>
      <c r="B11" s="123" t="n">
        <v>44.96</v>
      </c>
      <c r="C11" s="123" t="n">
        <v>65.42</v>
      </c>
      <c r="D11" s="123" t="n">
        <v>75.78</v>
      </c>
      <c r="E11" s="123" t="n">
        <v>93.92</v>
      </c>
      <c r="F11" s="123" t="n">
        <v>121.36</v>
      </c>
      <c r="G11" s="124" t="n">
        <v>125.691</v>
      </c>
      <c r="I11" s="96" t="s">
        <v>132</v>
      </c>
      <c r="J11" s="132" t="n">
        <f aca="false">($B$11*J20)</f>
        <v>8.86210498729101</v>
      </c>
      <c r="K11" s="132" t="n">
        <f aca="false">($C$11*K20)</f>
        <v>13.5566182736603</v>
      </c>
      <c r="L11" s="132" t="n">
        <f aca="false">($D$11*L20)</f>
        <v>15.7336101526043</v>
      </c>
      <c r="M11" s="132" t="n">
        <f aca="false">($E$11*M20)</f>
        <v>20.2053798996476</v>
      </c>
      <c r="N11" s="132" t="n">
        <f aca="false">($F$11*N20)</f>
        <v>26.9146932427541</v>
      </c>
      <c r="O11" s="132" t="n">
        <f aca="false">($G$11*O20)</f>
        <v>27.6719340767001</v>
      </c>
    </row>
    <row r="12" customFormat="false" ht="21.75" hidden="false" customHeight="true" outlineLevel="0" collapsed="false">
      <c r="A12" s="121" t="s">
        <v>176</v>
      </c>
      <c r="B12" s="115" t="n">
        <f aca="false">SUM(B7:B11)</f>
        <v>9083.894</v>
      </c>
      <c r="C12" s="115" t="n">
        <f aca="false">SUM(C7:C11)</f>
        <v>9754.9</v>
      </c>
      <c r="D12" s="115" t="n">
        <f aca="false">SUM(D7:D11)</f>
        <v>10696.181</v>
      </c>
      <c r="E12" s="115" t="n">
        <f aca="false">SUM(E7:E11)</f>
        <v>9648.55</v>
      </c>
      <c r="F12" s="115" t="n">
        <f aca="false">SUM(F7:F11)</f>
        <v>8804.518</v>
      </c>
      <c r="G12" s="115" t="n">
        <f aca="false">SUM(G7:G11)</f>
        <v>8812.559</v>
      </c>
      <c r="I12" s="96" t="s">
        <v>126</v>
      </c>
      <c r="J12" s="132" t="n">
        <f aca="false">($B$11*J21)</f>
        <v>0.283071754471827</v>
      </c>
      <c r="K12" s="132" t="n">
        <f aca="false">($C$11*K21)</f>
        <v>0.837925522936762</v>
      </c>
      <c r="L12" s="132" t="n">
        <f aca="false">($D$11*L21)</f>
        <v>1.21955506265221</v>
      </c>
      <c r="M12" s="132" t="n">
        <f aca="false">($E$11*M21)</f>
        <v>1.2369476719852</v>
      </c>
      <c r="N12" s="132" t="n">
        <f aca="false">($F$11*N21)</f>
        <v>1.17474270189886</v>
      </c>
      <c r="O12" s="132" t="n">
        <f aca="false">($G$11*O21)</f>
        <v>0</v>
      </c>
    </row>
    <row r="13" customFormat="false" ht="21.75" hidden="false" customHeight="true" outlineLevel="0" collapsed="false">
      <c r="A13" s="127"/>
      <c r="B13" s="131"/>
      <c r="C13" s="131"/>
      <c r="D13" s="131"/>
      <c r="E13" s="131"/>
      <c r="F13" s="131"/>
      <c r="G13" s="131"/>
      <c r="I13" s="96" t="s">
        <v>247</v>
      </c>
      <c r="J13" s="132" t="n">
        <f aca="false">($B$11*J22)</f>
        <v>2.93804063718602</v>
      </c>
      <c r="K13" s="132" t="n">
        <f aca="false">($C$11*K22)</f>
        <v>4.37781578958202</v>
      </c>
      <c r="L13" s="132" t="n">
        <f aca="false">($D$11*L22)</f>
        <v>4.6918830357907</v>
      </c>
      <c r="M13" s="132" t="n">
        <f aca="false">($E$11*M22)</f>
        <v>5.93408071851924</v>
      </c>
      <c r="N13" s="132" t="n">
        <f aca="false">($F$11*N22)</f>
        <v>5.99427533872548</v>
      </c>
      <c r="O13" s="132" t="n">
        <f aca="false">($G$11*O22)</f>
        <v>3.85078831217364</v>
      </c>
    </row>
    <row r="14" customFormat="false" ht="16.5" hidden="false" customHeight="true" outlineLevel="0" collapsed="false">
      <c r="B14" s="131"/>
      <c r="C14" s="131"/>
      <c r="D14" s="131"/>
      <c r="E14" s="131"/>
      <c r="F14" s="131"/>
      <c r="G14" s="131"/>
    </row>
    <row r="15" customFormat="false" ht="24.75" hidden="false" customHeight="true" outlineLevel="0" collapsed="false">
      <c r="A15" s="149" t="s">
        <v>262</v>
      </c>
      <c r="B15" s="95" t="n">
        <v>2005</v>
      </c>
      <c r="C15" s="95" t="n">
        <v>2006</v>
      </c>
      <c r="D15" s="95" t="n">
        <v>2007</v>
      </c>
      <c r="E15" s="95" t="n">
        <v>2008</v>
      </c>
      <c r="F15" s="95" t="n">
        <v>2009</v>
      </c>
      <c r="G15" s="95" t="n">
        <v>2010</v>
      </c>
      <c r="I15" s="162" t="s">
        <v>263</v>
      </c>
      <c r="J15" s="95" t="n">
        <v>2005</v>
      </c>
      <c r="K15" s="95" t="n">
        <v>2006</v>
      </c>
      <c r="L15" s="95" t="n">
        <v>2007</v>
      </c>
      <c r="M15" s="95" t="n">
        <v>2008</v>
      </c>
      <c r="N15" s="95" t="n">
        <v>2009</v>
      </c>
      <c r="O15" s="95" t="n">
        <v>2010</v>
      </c>
    </row>
    <row r="16" customFormat="false" ht="21.75" hidden="false" customHeight="true" outlineLevel="0" collapsed="false">
      <c r="A16" s="163" t="s">
        <v>264</v>
      </c>
      <c r="B16" s="123" t="n">
        <v>206340</v>
      </c>
      <c r="C16" s="123" t="n">
        <v>244690</v>
      </c>
      <c r="D16" s="123" t="n">
        <v>377260</v>
      </c>
      <c r="E16" s="123" t="n">
        <v>432100</v>
      </c>
      <c r="F16" s="123" t="n">
        <v>439180</v>
      </c>
      <c r="G16" s="123" t="n">
        <v>340860</v>
      </c>
      <c r="H16" s="164"/>
      <c r="I16" s="96" t="s">
        <v>128</v>
      </c>
      <c r="J16" s="165" t="n">
        <f aca="false">B20/B24</f>
        <v>0.142444861937765</v>
      </c>
      <c r="K16" s="165" t="n">
        <f aca="false">C20/C24</f>
        <v>0.136801327256934</v>
      </c>
      <c r="L16" s="165" t="n">
        <f aca="false">D20/D24</f>
        <v>0.138787832085349</v>
      </c>
      <c r="M16" s="165" t="n">
        <f aca="false">E20/E24</f>
        <v>0.129739205223446</v>
      </c>
      <c r="N16" s="165" t="n">
        <f aca="false">F20/F24</f>
        <v>0.123039087262226</v>
      </c>
      <c r="O16" s="165" t="n">
        <f aca="false">G20/G24</f>
        <v>0.133191595376851</v>
      </c>
    </row>
    <row r="17" customFormat="false" ht="21.75" hidden="false" customHeight="true" outlineLevel="0" collapsed="false">
      <c r="A17" s="163" t="s">
        <v>265</v>
      </c>
      <c r="B17" s="123" t="n">
        <v>589760</v>
      </c>
      <c r="C17" s="123" t="n">
        <v>760240</v>
      </c>
      <c r="D17" s="123" t="n">
        <v>1005610</v>
      </c>
      <c r="E17" s="123" t="n">
        <v>1242770</v>
      </c>
      <c r="F17" s="123" t="n">
        <v>1385280</v>
      </c>
      <c r="G17" s="123" t="n">
        <v>1237260</v>
      </c>
      <c r="H17" s="1"/>
      <c r="I17" s="96" t="s">
        <v>129</v>
      </c>
      <c r="J17" s="165" t="n">
        <f aca="false">B23/B24</f>
        <v>0.327374054719692</v>
      </c>
      <c r="K17" s="165" t="n">
        <f aca="false">C23/C24</f>
        <v>0.323542549206075</v>
      </c>
      <c r="L17" s="165" t="n">
        <f aca="false">D23/D24</f>
        <v>0.30563449710757</v>
      </c>
      <c r="M17" s="165" t="n">
        <f aca="false">E23/E24</f>
        <v>0.308420311430555</v>
      </c>
      <c r="N17" s="165" t="n">
        <f aca="false">F23/F24</f>
        <v>0.342378127730588</v>
      </c>
      <c r="O17" s="165" t="n">
        <f aca="false">G23/G24</f>
        <v>0.367791480235803</v>
      </c>
    </row>
    <row r="18" customFormat="false" ht="21.75" hidden="false" customHeight="true" outlineLevel="0" collapsed="false">
      <c r="A18" s="163" t="s">
        <v>266</v>
      </c>
      <c r="B18" s="123" t="n">
        <v>34500</v>
      </c>
      <c r="C18" s="123" t="n">
        <v>45140</v>
      </c>
      <c r="D18" s="123" t="n">
        <v>66730</v>
      </c>
      <c r="E18" s="123" t="n">
        <v>67940</v>
      </c>
      <c r="F18" s="123" t="n">
        <v>79200</v>
      </c>
      <c r="G18" s="123" t="n">
        <v>70600</v>
      </c>
      <c r="H18" s="1"/>
      <c r="I18" s="96" t="s">
        <v>130</v>
      </c>
      <c r="J18" s="165" t="n">
        <f aca="false">B21/B24</f>
        <v>0.196274135236261</v>
      </c>
      <c r="K18" s="165" t="n">
        <f aca="false">C21/C24</f>
        <v>0.189745972738538</v>
      </c>
      <c r="L18" s="165" t="n">
        <f aca="false">D21/D24</f>
        <v>0.196904002468991</v>
      </c>
      <c r="M18" s="165" t="n">
        <f aca="false">E21/E24</f>
        <v>0.199431106617448</v>
      </c>
      <c r="N18" s="165" t="n">
        <f aca="false">F21/F24</f>
        <v>0.187226941150281</v>
      </c>
      <c r="O18" s="165" t="n">
        <f aca="false">G21/G24</f>
        <v>0.190842920003905</v>
      </c>
    </row>
    <row r="19" customFormat="false" ht="21.75" hidden="false" customHeight="true" outlineLevel="0" collapsed="false">
      <c r="A19" s="163" t="s">
        <v>267</v>
      </c>
      <c r="B19" s="123" t="n">
        <v>19940</v>
      </c>
      <c r="C19" s="123" t="n">
        <v>49780</v>
      </c>
      <c r="D19" s="123" t="n">
        <v>83120</v>
      </c>
      <c r="E19" s="123" t="n">
        <v>80240</v>
      </c>
      <c r="F19" s="123" t="n">
        <v>63920</v>
      </c>
      <c r="G19" s="123" t="n">
        <v>0</v>
      </c>
      <c r="H19" s="1"/>
      <c r="I19" s="96" t="s">
        <v>131</v>
      </c>
      <c r="J19" s="165" t="n">
        <f aca="false">B16/B24</f>
        <v>0.0651521131652484</v>
      </c>
      <c r="K19" s="165" t="n">
        <f aca="false">C16/C24</f>
        <v>0.0629587661121335</v>
      </c>
      <c r="L19" s="165" t="n">
        <f aca="false">D16/D24</f>
        <v>0.073043577931027</v>
      </c>
      <c r="M19" s="165" t="n">
        <f aca="false">E16/E24</f>
        <v>0.0709229170804247</v>
      </c>
      <c r="N19" s="165" t="n">
        <f aca="false">F16/F24</f>
        <v>0.0665078603089607</v>
      </c>
      <c r="O19" s="165" t="n">
        <f aca="false">G16/G24</f>
        <v>0.0573786221454615</v>
      </c>
    </row>
    <row r="20" customFormat="false" ht="21.75" hidden="false" customHeight="true" outlineLevel="0" collapsed="false">
      <c r="A20" s="163" t="s">
        <v>268</v>
      </c>
      <c r="B20" s="123" t="n">
        <v>451130</v>
      </c>
      <c r="C20" s="123" t="n">
        <v>531680</v>
      </c>
      <c r="D20" s="123" t="n">
        <v>716820</v>
      </c>
      <c r="E20" s="123" t="n">
        <v>790440</v>
      </c>
      <c r="F20" s="123" t="n">
        <v>812480</v>
      </c>
      <c r="G20" s="123" t="n">
        <v>791230</v>
      </c>
      <c r="H20" s="1"/>
      <c r="I20" s="96" t="s">
        <v>132</v>
      </c>
      <c r="J20" s="165" t="n">
        <f aca="false">(B17+B18)/B24</f>
        <v>0.197110876051846</v>
      </c>
      <c r="K20" s="165" t="n">
        <f aca="false">(C17+C18)/C24</f>
        <v>0.207224369820549</v>
      </c>
      <c r="L20" s="165" t="n">
        <f aca="false">(D17+D18)/D24</f>
        <v>0.207622197843815</v>
      </c>
      <c r="M20" s="165" t="n">
        <f aca="false">(E17+E18)/E24</f>
        <v>0.215133942713454</v>
      </c>
      <c r="N20" s="165" t="n">
        <f aca="false">(F17+F18)/F24</f>
        <v>0.221775652956115</v>
      </c>
      <c r="O20" s="165" t="n">
        <f aca="false">(G17+G18)/G24</f>
        <v>0.220158436775108</v>
      </c>
    </row>
    <row r="21" customFormat="false" ht="21.75" hidden="false" customHeight="true" outlineLevel="0" collapsed="false">
      <c r="A21" s="163" t="s">
        <v>269</v>
      </c>
      <c r="B21" s="123" t="n">
        <v>621610</v>
      </c>
      <c r="C21" s="123" t="n">
        <v>737450</v>
      </c>
      <c r="D21" s="123" t="n">
        <v>1016982</v>
      </c>
      <c r="E21" s="123" t="n">
        <v>1215040</v>
      </c>
      <c r="F21" s="123" t="n">
        <v>1236340</v>
      </c>
      <c r="G21" s="123" t="n">
        <v>1133710</v>
      </c>
      <c r="H21" s="1"/>
      <c r="I21" s="96" t="s">
        <v>126</v>
      </c>
      <c r="J21" s="165" t="n">
        <f aca="false">B19/B24</f>
        <v>0.00629607994821679</v>
      </c>
      <c r="K21" s="165" t="n">
        <f aca="false">C19/C24</f>
        <v>0.0128083999226041</v>
      </c>
      <c r="L21" s="165" t="n">
        <f aca="false">D19/D24</f>
        <v>0.0160933631915044</v>
      </c>
      <c r="M21" s="165" t="n">
        <f aca="false">E19/E24</f>
        <v>0.0131702264904728</v>
      </c>
      <c r="N21" s="165" t="n">
        <f aca="false">F19/F24</f>
        <v>0.00967981791281198</v>
      </c>
      <c r="O21" s="165" t="n">
        <f aca="false">G19/G24</f>
        <v>0</v>
      </c>
    </row>
    <row r="22" customFormat="false" ht="21.75" hidden="false" customHeight="true" outlineLevel="0" collapsed="false">
      <c r="A22" s="163" t="s">
        <v>270</v>
      </c>
      <c r="B22" s="123" t="n">
        <v>206960</v>
      </c>
      <c r="C22" s="123" t="n">
        <v>260080</v>
      </c>
      <c r="D22" s="123" t="n">
        <v>319780</v>
      </c>
      <c r="E22" s="123" t="n">
        <v>384940</v>
      </c>
      <c r="F22" s="123" t="n">
        <v>326160</v>
      </c>
      <c r="G22" s="123" t="n">
        <v>182000</v>
      </c>
      <c r="H22" s="1"/>
      <c r="I22" s="96" t="s">
        <v>247</v>
      </c>
      <c r="J22" s="165" t="n">
        <f aca="false">B22/B24</f>
        <v>0.0653478789409703</v>
      </c>
      <c r="K22" s="165" t="n">
        <f aca="false">C22/C24</f>
        <v>0.0669186149431675</v>
      </c>
      <c r="L22" s="165" t="n">
        <f aca="false">D22/D24</f>
        <v>0.0619145293717431</v>
      </c>
      <c r="M22" s="165" t="n">
        <f aca="false">E22/E24</f>
        <v>0.0631822904441997</v>
      </c>
      <c r="N22" s="165" t="n">
        <f aca="false">F22/F24</f>
        <v>0.0493925126790168</v>
      </c>
      <c r="O22" s="165" t="n">
        <f aca="false">G22/G24</f>
        <v>0.0306369454628704</v>
      </c>
    </row>
    <row r="23" customFormat="false" ht="13.5" hidden="false" customHeight="false" outlineLevel="0" collapsed="false">
      <c r="A23" s="163" t="s">
        <v>271</v>
      </c>
      <c r="B23" s="123" t="n">
        <v>1036810</v>
      </c>
      <c r="C23" s="123" t="n">
        <v>1257452</v>
      </c>
      <c r="D23" s="123" t="n">
        <v>1578560</v>
      </c>
      <c r="E23" s="123" t="n">
        <v>1879060</v>
      </c>
      <c r="F23" s="123" t="n">
        <v>2260870</v>
      </c>
      <c r="G23" s="123" t="n">
        <v>2184880</v>
      </c>
      <c r="H23" s="1"/>
    </row>
    <row r="24" customFormat="false" ht="13.5" hidden="false" customHeight="false" outlineLevel="0" collapsed="false">
      <c r="A24" s="166" t="s">
        <v>272</v>
      </c>
      <c r="B24" s="167" t="n">
        <f aca="false">SUM(B16:B23)</f>
        <v>3167050</v>
      </c>
      <c r="C24" s="167" t="n">
        <f aca="false">SUM(C16:C23)</f>
        <v>3886512</v>
      </c>
      <c r="D24" s="167" t="n">
        <f aca="false">SUM(D16:D23)</f>
        <v>5164862</v>
      </c>
      <c r="E24" s="167" t="n">
        <f aca="false">SUM(E16:E23)</f>
        <v>6092530</v>
      </c>
      <c r="F24" s="167" t="n">
        <f aca="false">SUM(F16:F23)</f>
        <v>6603430</v>
      </c>
      <c r="G24" s="167" t="n">
        <f aca="false">SUM(G16:G23)</f>
        <v>5940540</v>
      </c>
    </row>
    <row r="25" customFormat="false" ht="13.5" hidden="false" customHeight="false" outlineLevel="0" collapsed="false">
      <c r="A25" s="168"/>
      <c r="B25" s="169"/>
    </row>
    <row r="26" customFormat="false" ht="21.75" hidden="false" customHeight="true" outlineLevel="0" collapsed="false">
      <c r="A26" s="83" t="s">
        <v>183</v>
      </c>
      <c r="B26" s="113" t="s">
        <v>184</v>
      </c>
    </row>
    <row r="27" customFormat="false" ht="21.75" hidden="false" customHeight="true" outlineLevel="0" collapsed="false">
      <c r="A27" s="114" t="s">
        <v>273</v>
      </c>
      <c r="B27" s="95" t="n">
        <f aca="false">B6</f>
        <v>2005</v>
      </c>
      <c r="C27" s="95" t="n">
        <f aca="false">C6</f>
        <v>2006</v>
      </c>
      <c r="D27" s="95" t="n">
        <f aca="false">D6</f>
        <v>2007</v>
      </c>
      <c r="E27" s="95" t="n">
        <f aca="false">E6</f>
        <v>2008</v>
      </c>
      <c r="F27" s="95" t="n">
        <f aca="false">F6</f>
        <v>2009</v>
      </c>
      <c r="G27" s="95" t="n">
        <f aca="false">G6</f>
        <v>2010</v>
      </c>
    </row>
    <row r="28" customFormat="false" ht="21.75" hidden="false" customHeight="true" outlineLevel="0" collapsed="false">
      <c r="A28" s="114" t="str">
        <f aca="false">'0.DADES'!B48</f>
        <v>Incineració</v>
      </c>
      <c r="B28" s="99" t="n">
        <f aca="false">'0.DADES'!D48</f>
        <v>1.069</v>
      </c>
      <c r="C28" s="99" t="n">
        <f aca="false">'0.DADES'!E48</f>
        <v>1.069</v>
      </c>
      <c r="D28" s="99" t="n">
        <f aca="false">'0.DADES'!F48</f>
        <v>1.069</v>
      </c>
      <c r="E28" s="99" t="n">
        <f aca="false">'0.DADES'!G48</f>
        <v>1.069</v>
      </c>
      <c r="F28" s="99" t="n">
        <f aca="false">'0.DADES'!H48</f>
        <v>1.069</v>
      </c>
      <c r="G28" s="99" t="n">
        <f aca="false">'0.DADES'!I48</f>
        <v>1.069</v>
      </c>
    </row>
    <row r="29" customFormat="false" ht="21.75" hidden="false" customHeight="true" outlineLevel="0" collapsed="false">
      <c r="A29" s="114" t="str">
        <f aca="false">'0.DADES'!B49</f>
        <v>Compostatge</v>
      </c>
      <c r="B29" s="99" t="n">
        <f aca="false">'0.DADES'!D49</f>
        <v>0.32</v>
      </c>
      <c r="C29" s="99" t="n">
        <f aca="false">'0.DADES'!E49</f>
        <v>0.32</v>
      </c>
      <c r="D29" s="99" t="n">
        <f aca="false">'0.DADES'!F49</f>
        <v>0.32</v>
      </c>
      <c r="E29" s="99" t="n">
        <f aca="false">'0.DADES'!G49</f>
        <v>0.32</v>
      </c>
      <c r="F29" s="99" t="n">
        <f aca="false">'0.DADES'!H49</f>
        <v>0.32</v>
      </c>
      <c r="G29" s="99" t="n">
        <f aca="false">'0.DADES'!I49</f>
        <v>0.32</v>
      </c>
    </row>
    <row r="30" customFormat="false" ht="21.75" hidden="false" customHeight="true" outlineLevel="0" collapsed="false">
      <c r="A30" s="114" t="str">
        <f aca="false">'0.DADES'!B50</f>
        <v>Paper/cartró</v>
      </c>
      <c r="B30" s="99" t="n">
        <f aca="false">'0.DADES'!D50</f>
        <v>-0.265</v>
      </c>
      <c r="C30" s="99" t="n">
        <f aca="false">'0.DADES'!E50</f>
        <v>-0.265</v>
      </c>
      <c r="D30" s="99" t="n">
        <f aca="false">'0.DADES'!F50</f>
        <v>-0.265</v>
      </c>
      <c r="E30" s="99" t="n">
        <f aca="false">'0.DADES'!G50</f>
        <v>-0.265</v>
      </c>
      <c r="F30" s="99" t="n">
        <f aca="false">'0.DADES'!H50</f>
        <v>-0.265</v>
      </c>
      <c r="G30" s="99" t="n">
        <f aca="false">'0.DADES'!I50</f>
        <v>-0.265</v>
      </c>
    </row>
    <row r="31" customFormat="false" ht="21.75" hidden="false" customHeight="true" outlineLevel="0" collapsed="false">
      <c r="A31" s="114" t="str">
        <f aca="false">'0.DADES'!B51</f>
        <v>Vidre</v>
      </c>
      <c r="B31" s="99" t="n">
        <f aca="false">'0.DADES'!D51</f>
        <v>-0.668</v>
      </c>
      <c r="C31" s="99" t="n">
        <f aca="false">'0.DADES'!E51</f>
        <v>-0.668</v>
      </c>
      <c r="D31" s="99" t="n">
        <f aca="false">'0.DADES'!F51</f>
        <v>-0.668</v>
      </c>
      <c r="E31" s="99" t="n">
        <f aca="false">'0.DADES'!G51</f>
        <v>-0.668</v>
      </c>
      <c r="F31" s="99" t="n">
        <f aca="false">'0.DADES'!H51</f>
        <v>-0.668</v>
      </c>
      <c r="G31" s="99" t="n">
        <f aca="false">'0.DADES'!I51</f>
        <v>-0.668</v>
      </c>
    </row>
    <row r="32" customFormat="false" ht="21.75" hidden="false" customHeight="true" outlineLevel="0" collapsed="false">
      <c r="A32" s="114" t="str">
        <f aca="false">'0.DADES'!B52</f>
        <v>Envasos HDPE (tots colors)</v>
      </c>
      <c r="B32" s="99" t="n">
        <f aca="false">'0.DADES'!D52</f>
        <v>-2.103</v>
      </c>
      <c r="C32" s="99" t="n">
        <f aca="false">'0.DADES'!E52</f>
        <v>-2.103</v>
      </c>
      <c r="D32" s="99" t="n">
        <f aca="false">'0.DADES'!F52</f>
        <v>-2.103</v>
      </c>
      <c r="E32" s="99" t="n">
        <f aca="false">'0.DADES'!G52</f>
        <v>-2.103</v>
      </c>
      <c r="F32" s="99" t="n">
        <f aca="false">'0.DADES'!H52</f>
        <v>-2.103</v>
      </c>
      <c r="G32" s="99" t="n">
        <f aca="false">'0.DADES'!I52</f>
        <v>-2.103</v>
      </c>
    </row>
    <row r="33" customFormat="false" ht="21.75" hidden="false" customHeight="true" outlineLevel="0" collapsed="false">
      <c r="A33" s="114" t="str">
        <f aca="false">'0.DADES'!B53</f>
        <v>Envasos PET</v>
      </c>
      <c r="B33" s="99" t="n">
        <f aca="false">'0.DADES'!D53</f>
        <v>-1.236</v>
      </c>
      <c r="C33" s="99" t="n">
        <f aca="false">'0.DADES'!E53</f>
        <v>-1.236</v>
      </c>
      <c r="D33" s="99" t="n">
        <f aca="false">'0.DADES'!F53</f>
        <v>-1.236</v>
      </c>
      <c r="E33" s="99" t="n">
        <f aca="false">'0.DADES'!G53</f>
        <v>-1.236</v>
      </c>
      <c r="F33" s="99" t="n">
        <f aca="false">'0.DADES'!H53</f>
        <v>-1.236</v>
      </c>
      <c r="G33" s="99" t="n">
        <f aca="false">'0.DADES'!I53</f>
        <v>-1.236</v>
      </c>
    </row>
    <row r="34" customFormat="false" ht="21.75" hidden="false" customHeight="true" outlineLevel="0" collapsed="false">
      <c r="A34" s="114" t="str">
        <f aca="false">'0.DADES'!B54</f>
        <v>Envasos LDPE film</v>
      </c>
      <c r="B34" s="99" t="n">
        <f aca="false">'0.DADES'!D54</f>
        <v>-1.202</v>
      </c>
      <c r="C34" s="99" t="n">
        <f aca="false">'0.DADES'!E54</f>
        <v>-1.202</v>
      </c>
      <c r="D34" s="99" t="n">
        <f aca="false">'0.DADES'!F54</f>
        <v>-1.202</v>
      </c>
      <c r="E34" s="99" t="n">
        <f aca="false">'0.DADES'!G54</f>
        <v>-1.202</v>
      </c>
      <c r="F34" s="99" t="n">
        <f aca="false">'0.DADES'!H54</f>
        <v>-1.202</v>
      </c>
      <c r="G34" s="99" t="n">
        <f aca="false">'0.DADES'!I54</f>
        <v>-1.202</v>
      </c>
    </row>
    <row r="35" customFormat="false" ht="21.75" hidden="false" customHeight="true" outlineLevel="0" collapsed="false">
      <c r="A35" s="114" t="str">
        <f aca="false">'0.DADES'!B55</f>
        <v>Tetrabric</v>
      </c>
      <c r="B35" s="99" t="n">
        <f aca="false">'0.DADES'!D55</f>
        <v>0.008</v>
      </c>
      <c r="C35" s="99" t="n">
        <f aca="false">'0.DADES'!E55</f>
        <v>0.008</v>
      </c>
      <c r="D35" s="99" t="n">
        <f aca="false">'0.DADES'!F55</f>
        <v>0.008</v>
      </c>
      <c r="E35" s="99" t="n">
        <f aca="false">'0.DADES'!G55</f>
        <v>0.008</v>
      </c>
      <c r="F35" s="99" t="n">
        <f aca="false">'0.DADES'!H55</f>
        <v>0.008</v>
      </c>
      <c r="G35" s="99" t="n">
        <f aca="false">'0.DADES'!I55</f>
        <v>0.008</v>
      </c>
    </row>
    <row r="36" customFormat="false" ht="21.75" hidden="false" customHeight="true" outlineLevel="0" collapsed="false">
      <c r="A36" s="114" t="str">
        <f aca="false">'0.DADES'!B56</f>
        <v>Llaunes (alumini i acer)</v>
      </c>
      <c r="B36" s="99" t="n">
        <f aca="false">'0.DADES'!D56</f>
        <v>-0.616</v>
      </c>
      <c r="C36" s="99" t="n">
        <f aca="false">'0.DADES'!E56</f>
        <v>-0.616</v>
      </c>
      <c r="D36" s="99" t="n">
        <f aca="false">'0.DADES'!F56</f>
        <v>-0.616</v>
      </c>
      <c r="E36" s="99" t="n">
        <f aca="false">'0.DADES'!G56</f>
        <v>-0.616</v>
      </c>
      <c r="F36" s="99" t="n">
        <f aca="false">'0.DADES'!H56</f>
        <v>-0.616</v>
      </c>
      <c r="G36" s="99" t="n">
        <f aca="false">'0.DADES'!I56</f>
        <v>-0.616</v>
      </c>
    </row>
    <row r="37" customFormat="false" ht="21.75" hidden="false" customHeight="true" outlineLevel="0" collapsed="false">
      <c r="A37" s="83"/>
      <c r="B37" s="113"/>
    </row>
    <row r="38" customFormat="false" ht="21.75" hidden="false" customHeight="true" outlineLevel="0" collapsed="false">
      <c r="A38" s="75" t="s">
        <v>31</v>
      </c>
      <c r="B38" s="95" t="n">
        <f aca="false">B6</f>
        <v>2005</v>
      </c>
      <c r="C38" s="95" t="n">
        <f aca="false">C6</f>
        <v>2006</v>
      </c>
      <c r="D38" s="95" t="n">
        <f aca="false">D6</f>
        <v>2007</v>
      </c>
      <c r="E38" s="95" t="n">
        <f aca="false">E6</f>
        <v>2008</v>
      </c>
      <c r="F38" s="95" t="n">
        <f aca="false">F6</f>
        <v>2009</v>
      </c>
      <c r="G38" s="95" t="n">
        <f aca="false">G6</f>
        <v>2010</v>
      </c>
    </row>
    <row r="39" customFormat="false" ht="21.75" hidden="false" customHeight="true" outlineLevel="0" collapsed="false">
      <c r="A39" s="114" t="s">
        <v>258</v>
      </c>
      <c r="B39" s="115" t="n">
        <f aca="false">B7*B28</f>
        <v>9048.437186</v>
      </c>
      <c r="C39" s="115" t="n">
        <f aca="false">C7*C28</f>
        <v>9625.773085</v>
      </c>
      <c r="D39" s="115" t="n">
        <f aca="false">D7*D28</f>
        <v>10612.669609</v>
      </c>
      <c r="E39" s="115" t="n">
        <f aca="false">E7*E28</f>
        <v>9415.46337</v>
      </c>
      <c r="F39" s="115" t="n">
        <f aca="false">F7*F28</f>
        <v>8440.1826</v>
      </c>
      <c r="G39" s="115" t="n">
        <f aca="false">G7*G28</f>
        <v>8461.751813</v>
      </c>
    </row>
    <row r="40" customFormat="false" ht="21.75" hidden="false" customHeight="true" outlineLevel="0" collapsed="false">
      <c r="A40" s="114" t="s">
        <v>259</v>
      </c>
      <c r="B40" s="115" t="n">
        <f aca="false">B8*B29</f>
        <v>0</v>
      </c>
      <c r="C40" s="115" t="n">
        <f aca="false">C8*C29</f>
        <v>0</v>
      </c>
      <c r="D40" s="115" t="n">
        <f aca="false">D8*D29</f>
        <v>0</v>
      </c>
      <c r="E40" s="115" t="n">
        <f aca="false">E8*E29</f>
        <v>0</v>
      </c>
      <c r="F40" s="115" t="n">
        <f aca="false">F8*F29</f>
        <v>16.5952</v>
      </c>
      <c r="G40" s="115" t="n">
        <f aca="false">G8*G29</f>
        <v>14.2848</v>
      </c>
    </row>
    <row r="41" customFormat="false" ht="21.75" hidden="false" customHeight="true" outlineLevel="0" collapsed="false">
      <c r="A41" s="114" t="s">
        <v>260</v>
      </c>
      <c r="B41" s="115" t="n">
        <f aca="false">B9*B30</f>
        <v>-62.2114</v>
      </c>
      <c r="C41" s="115" t="n">
        <f aca="false">C9*C30</f>
        <v>-74.299375</v>
      </c>
      <c r="D41" s="115" t="n">
        <f aca="false">D9*D30</f>
        <v>-78.2386</v>
      </c>
      <c r="E41" s="115" t="n">
        <f aca="false">E9*E30</f>
        <v>-82.4574</v>
      </c>
      <c r="F41" s="115" t="n">
        <f aca="false">F9*F30</f>
        <v>-77.51727</v>
      </c>
      <c r="G41" s="115" t="n">
        <f aca="false">G9*G30</f>
        <v>-82.044</v>
      </c>
    </row>
    <row r="42" customFormat="false" ht="21.75" hidden="false" customHeight="true" outlineLevel="0" collapsed="false">
      <c r="A42" s="114" t="s">
        <v>127</v>
      </c>
      <c r="B42" s="115" t="n">
        <f aca="false">B10*B31</f>
        <v>-226.97304</v>
      </c>
      <c r="C42" s="115" t="n">
        <f aca="false">C10*C31</f>
        <v>-270.29952</v>
      </c>
      <c r="D42" s="115" t="n">
        <f aca="false">D10*D31</f>
        <v>-265.53</v>
      </c>
      <c r="E42" s="115" t="n">
        <f aca="false">E10*E31</f>
        <v>-291.07432</v>
      </c>
      <c r="F42" s="115" t="n">
        <f aca="false">F10*F31</f>
        <v>-296.17784</v>
      </c>
      <c r="G42" s="115" t="n">
        <f aca="false">G10*G31</f>
        <v>-278.590068</v>
      </c>
    </row>
    <row r="43" customFormat="false" ht="21.75" hidden="false" customHeight="true" outlineLevel="0" collapsed="false">
      <c r="A43" s="114" t="s">
        <v>128</v>
      </c>
      <c r="B43" s="115" t="n">
        <f aca="false">J7*B32</f>
        <v>-13.4682870476942</v>
      </c>
      <c r="C43" s="115" t="n">
        <f aca="false">K7*C32</f>
        <v>-18.8208885696995</v>
      </c>
      <c r="D43" s="115" t="n">
        <f aca="false">L7*D32</f>
        <v>-22.1179700481446</v>
      </c>
      <c r="E43" s="115" t="n">
        <f aca="false">M7*E32</f>
        <v>-25.6252782430944</v>
      </c>
      <c r="F43" s="115" t="n">
        <f aca="false">N7*F32</f>
        <v>-31.4020456941923</v>
      </c>
      <c r="G43" s="115" t="n">
        <f aca="false">O7*G32</f>
        <v>-35.2062910649183</v>
      </c>
    </row>
    <row r="44" customFormat="false" ht="21.75" hidden="false" customHeight="true" outlineLevel="0" collapsed="false">
      <c r="A44" s="114" t="s">
        <v>129</v>
      </c>
      <c r="B44" s="115" t="n">
        <f aca="false">J17*B33</f>
        <v>-0.404634331633539</v>
      </c>
      <c r="C44" s="115" t="n">
        <f aca="false">K17*C33</f>
        <v>-0.399898590818708</v>
      </c>
      <c r="D44" s="115" t="n">
        <f aca="false">L17*D33</f>
        <v>-0.377764238424957</v>
      </c>
      <c r="E44" s="115" t="n">
        <f aca="false">M17*E33</f>
        <v>-0.381207504928166</v>
      </c>
      <c r="F44" s="115" t="n">
        <f aca="false">N17*F33</f>
        <v>-0.423179365875007</v>
      </c>
      <c r="G44" s="115" t="n">
        <f aca="false">O17*G33</f>
        <v>-0.454590269571453</v>
      </c>
    </row>
    <row r="45" customFormat="false" ht="21.75" hidden="false" customHeight="true" outlineLevel="0" collapsed="false">
      <c r="A45" s="114" t="s">
        <v>130</v>
      </c>
      <c r="B45" s="115" t="n">
        <f aca="false">J9*B34</f>
        <v>-10.6070311145072</v>
      </c>
      <c r="C45" s="115" t="n">
        <f aca="false">K9*C34</f>
        <v>-14.9206442069393</v>
      </c>
      <c r="D45" s="115" t="n">
        <f aca="false">L9*D34</f>
        <v>-17.9355051391344</v>
      </c>
      <c r="E45" s="115" t="n">
        <f aca="false">M9*E34</f>
        <v>-22.5141445792799</v>
      </c>
      <c r="F45" s="115" t="n">
        <f aca="false">N9*F34</f>
        <v>-27.3116776167537</v>
      </c>
      <c r="G45" s="115" t="n">
        <f aca="false">O9*G34</f>
        <v>-28.8326594247695</v>
      </c>
    </row>
    <row r="46" customFormat="false" ht="21.75" hidden="false" customHeight="true" outlineLevel="0" collapsed="false">
      <c r="A46" s="114" t="s">
        <v>131</v>
      </c>
      <c r="B46" s="115" t="n">
        <f aca="false">J10*B35</f>
        <v>0.0234339120632766</v>
      </c>
      <c r="C46" s="115" t="n">
        <f aca="false">K10*C35</f>
        <v>0.0329500998324462</v>
      </c>
      <c r="D46" s="115" t="n">
        <f aca="false">L10*D35</f>
        <v>0.0442819386849058</v>
      </c>
      <c r="E46" s="115" t="n">
        <f aca="false">M10*E35</f>
        <v>0.0532886429775479</v>
      </c>
      <c r="F46" s="115" t="n">
        <f aca="false">N10*F35</f>
        <v>0.0645711514167637</v>
      </c>
      <c r="G46" s="115" t="n">
        <f aca="false">O10*G35</f>
        <v>0.0576958111686816</v>
      </c>
    </row>
    <row r="47" customFormat="false" ht="21.75" hidden="false" customHeight="true" outlineLevel="0" collapsed="false">
      <c r="A47" s="114" t="s">
        <v>132</v>
      </c>
      <c r="B47" s="115" t="n">
        <f aca="false">J11*B36</f>
        <v>-5.45905667217126</v>
      </c>
      <c r="C47" s="115" t="n">
        <f aca="false">K11*C36</f>
        <v>-8.35087685657474</v>
      </c>
      <c r="D47" s="115" t="n">
        <f aca="false">L11*D36</f>
        <v>-9.69190385400423</v>
      </c>
      <c r="E47" s="115" t="n">
        <f aca="false">M11*E36</f>
        <v>-12.4465140181829</v>
      </c>
      <c r="F47" s="115" t="n">
        <f aca="false">N11*F36</f>
        <v>-16.5794510375366</v>
      </c>
      <c r="G47" s="115" t="n">
        <f aca="false">O11*G36</f>
        <v>-17.0459113912473</v>
      </c>
    </row>
    <row r="48" customFormat="false" ht="21.75" hidden="false" customHeight="true" outlineLevel="0" collapsed="false">
      <c r="A48" s="121" t="s">
        <v>176</v>
      </c>
      <c r="B48" s="115" t="n">
        <f aca="false">SUM(B39:B47)</f>
        <v>8729.33717074606</v>
      </c>
      <c r="C48" s="115" t="n">
        <f aca="false">SUM(C39:C47)</f>
        <v>9238.7148318758</v>
      </c>
      <c r="D48" s="115" t="n">
        <f aca="false">SUM(D39:D47)</f>
        <v>10218.822147659</v>
      </c>
      <c r="E48" s="115" t="n">
        <f aca="false">SUM(E39:E47)</f>
        <v>8981.01779429749</v>
      </c>
      <c r="F48" s="115" t="n">
        <f aca="false">SUM(F39:F47)</f>
        <v>8007.43090743706</v>
      </c>
      <c r="G48" s="115" t="n">
        <f aca="false">SUM(G39:G47)</f>
        <v>8033.92078866066</v>
      </c>
    </row>
  </sheetData>
  <mergeCells count="1">
    <mergeCell ref="B3:F3"/>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LibreOffice/5.2.0.4$Windows_X86_64 LibreOffice_project/066b007f5ebcc236395c7d282ba488bca6720265</Application>
  <Company>DIPUTACIÓ DE BARCELONA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2010-04-08T07:49:34Z</dcterms:created>
  <dc:creator>parpalsn</dc:creator>
  <dc:description/>
  <dc:language>es-ES</dc:language>
  <cp:lastModifiedBy>Miki</cp:lastModifiedBy>
  <cp:lastPrinted>2011-10-17T11:31:10Z</cp:lastPrinted>
  <dcterms:modified xsi:type="dcterms:W3CDTF">2017-03-28T06:18:53Z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DIPUTACIÓ DE BARCELONA</vt:lpwstr>
  </property>
  <property fmtid="{D5CDD505-2E9C-101B-9397-08002B2CF9AE}" pid="4" name="DocSecurity">
    <vt:i4>1</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