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ib-my.sharepoint.com/personal/u94000_caib_es/Documents/FACTOR 2026/Aplicación simulación ayuda/"/>
    </mc:Choice>
  </mc:AlternateContent>
  <xr:revisionPtr revIDLastSave="625" documentId="11_7433A6B8BC077D9943EE1E03A6C09B0F003D8FAD" xr6:coauthVersionLast="47" xr6:coauthVersionMax="47" xr10:uidLastSave="{097CE86D-BCAE-45DD-B7A6-8730B4E694D3}"/>
  <bookViews>
    <workbookView xWindow="28680" yWindow="-120" windowWidth="29040" windowHeight="15720" tabRatio="813" xr2:uid="{00000000-000D-0000-FFFF-FFFF00000000}"/>
  </bookViews>
  <sheets>
    <sheet name="Resum Instruccions" sheetId="8" r:id="rId1"/>
    <sheet name="Programa 1" sheetId="1" r:id="rId2"/>
    <sheet name="Programa 2" sheetId="4" r:id="rId3"/>
    <sheet name="Programa 3" sheetId="5" r:id="rId4"/>
    <sheet name="Programa 4" sheetId="6" r:id="rId5"/>
  </sheets>
  <definedNames>
    <definedName name="_xlnm.Print_Area" localSheetId="1">'Programa 1'!$A$1:$N$48</definedName>
    <definedName name="_xlnm.Print_Area" localSheetId="2">'Programa 2'!$A$1:$N$44</definedName>
    <definedName name="_xlnm.Print_Area" localSheetId="3">'Programa 3'!$A$1:$N$38</definedName>
    <definedName name="_xlnm.Print_Area" localSheetId="4">'Programa 4'!$A$1:$N$32</definedName>
    <definedName name="_xlnm.Print_Area" localSheetId="0">'Resum Instruccions'!$A$1:$P$7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5" l="1"/>
  <c r="F38" i="5"/>
  <c r="C10" i="1"/>
  <c r="D16" i="1" s="1"/>
  <c r="F10" i="1"/>
  <c r="F10" i="5"/>
  <c r="C10" i="5"/>
  <c r="G17" i="1"/>
  <c r="G16" i="1"/>
  <c r="G15" i="1"/>
  <c r="F17" i="1"/>
  <c r="F16" i="1"/>
  <c r="F15" i="1"/>
  <c r="D17" i="1"/>
  <c r="D15" i="1"/>
  <c r="C17" i="1"/>
  <c r="C15" i="1"/>
  <c r="E57" i="1"/>
  <c r="E58" i="1"/>
  <c r="C16" i="1" l="1"/>
  <c r="F41" i="1"/>
  <c r="F42" i="1" s="1"/>
  <c r="F59" i="1" s="1"/>
  <c r="F57" i="1" s="1"/>
  <c r="F43" i="1"/>
  <c r="F44" i="1" s="1"/>
  <c r="C41" i="1"/>
  <c r="C42" i="1" s="1"/>
  <c r="C43" i="1"/>
  <c r="C44" i="1" s="1"/>
  <c r="E59" i="1"/>
  <c r="C59" i="1" l="1"/>
  <c r="F58" i="1"/>
  <c r="F14" i="1" s="1"/>
  <c r="G43" i="1"/>
  <c r="G44" i="1" s="1"/>
  <c r="G41" i="1"/>
  <c r="G42" i="1" s="1"/>
  <c r="G59" i="1" s="1"/>
  <c r="G57" i="1" s="1"/>
  <c r="D41" i="1"/>
  <c r="D42" i="1" s="1"/>
  <c r="D59" i="1" s="1"/>
  <c r="D43" i="1"/>
  <c r="C7" i="6"/>
  <c r="D44" i="1" l="1"/>
  <c r="D58" i="1"/>
  <c r="C58" i="1"/>
  <c r="C57" i="1"/>
  <c r="C14" i="1" s="1"/>
  <c r="G58" i="1"/>
  <c r="G14" i="1" s="1"/>
  <c r="D57" i="1"/>
  <c r="D14" i="1" s="1"/>
  <c r="A18" i="1"/>
  <c r="F37" i="4"/>
  <c r="F8" i="8" s="1"/>
  <c r="D37" i="4"/>
  <c r="C8" i="8" s="1"/>
  <c r="C37" i="4"/>
  <c r="B8" i="8" s="1"/>
  <c r="G37" i="4"/>
  <c r="G8" i="8" s="1"/>
  <c r="C7" i="4" l="1"/>
  <c r="G28" i="6" l="1"/>
  <c r="G10" i="8" s="1"/>
  <c r="F28" i="6"/>
  <c r="F10" i="8" s="1"/>
  <c r="D28" i="6"/>
  <c r="C28" i="6"/>
  <c r="C6" i="6"/>
  <c r="E33" i="6" s="1"/>
  <c r="D31" i="6" l="1"/>
  <c r="D33" i="6" s="1"/>
  <c r="E10" i="8" s="1"/>
  <c r="C10" i="8"/>
  <c r="C31" i="6"/>
  <c r="C33" i="6" s="1"/>
  <c r="D10" i="8" s="1"/>
  <c r="B10" i="8"/>
  <c r="G29" i="6"/>
  <c r="G32" i="6" s="1"/>
  <c r="G31" i="6"/>
  <c r="G33" i="6" s="1"/>
  <c r="I10" i="8" s="1"/>
  <c r="F29" i="6"/>
  <c r="F32" i="6" s="1"/>
  <c r="F31" i="6"/>
  <c r="F33" i="6" s="1"/>
  <c r="H10" i="8" s="1"/>
  <c r="C29" i="6"/>
  <c r="C32" i="6" s="1"/>
  <c r="D29" i="6"/>
  <c r="D32" i="6" s="1"/>
  <c r="B33" i="6"/>
  <c r="C14" i="5"/>
  <c r="F14" i="5"/>
  <c r="G14" i="5" s="1"/>
  <c r="G33" i="5"/>
  <c r="F33" i="5"/>
  <c r="D33" i="5"/>
  <c r="C33" i="5"/>
  <c r="C34" i="5" s="1"/>
  <c r="C6" i="5"/>
  <c r="B39" i="5" s="1"/>
  <c r="F16" i="4"/>
  <c r="F15" i="4"/>
  <c r="G15" i="4" s="1"/>
  <c r="F14" i="4"/>
  <c r="G14" i="4" s="1"/>
  <c r="F38" i="4" s="1"/>
  <c r="F39" i="4" s="1"/>
  <c r="F13" i="4"/>
  <c r="C16" i="4"/>
  <c r="D16" i="4" s="1"/>
  <c r="C15" i="4"/>
  <c r="C14" i="4"/>
  <c r="D14" i="4" s="1"/>
  <c r="C38" i="4" s="1"/>
  <c r="C39" i="4" s="1"/>
  <c r="C40" i="4" s="1"/>
  <c r="C13" i="4"/>
  <c r="D13" i="4" s="1"/>
  <c r="C7" i="1"/>
  <c r="C6" i="4"/>
  <c r="B45" i="4" s="1"/>
  <c r="B7" i="8"/>
  <c r="C36" i="5" l="1"/>
  <c r="C37" i="5" s="1"/>
  <c r="C38" i="5" s="1"/>
  <c r="B9" i="8"/>
  <c r="B11" i="8" s="1"/>
  <c r="D14" i="5"/>
  <c r="J10" i="8"/>
  <c r="K10" i="8"/>
  <c r="G34" i="5"/>
  <c r="G36" i="5" s="1"/>
  <c r="G37" i="5" s="1"/>
  <c r="G9" i="8"/>
  <c r="F34" i="5"/>
  <c r="F36" i="5" s="1"/>
  <c r="F37" i="5" s="1"/>
  <c r="F9" i="8"/>
  <c r="D34" i="5"/>
  <c r="D36" i="5" s="1"/>
  <c r="D37" i="5" s="1"/>
  <c r="D38" i="5" s="1"/>
  <c r="C9" i="8"/>
  <c r="C17" i="4"/>
  <c r="D17" i="4" s="1"/>
  <c r="E39" i="5"/>
  <c r="F17" i="4"/>
  <c r="G17" i="4" s="1"/>
  <c r="G38" i="4"/>
  <c r="G39" i="4" s="1"/>
  <c r="D38" i="4"/>
  <c r="D39" i="4" s="1"/>
  <c r="D15" i="4"/>
  <c r="G16" i="4"/>
  <c r="E45" i="4"/>
  <c r="G13" i="4"/>
  <c r="G7" i="8"/>
  <c r="F7" i="8"/>
  <c r="C6" i="1"/>
  <c r="F70" i="1" l="1"/>
  <c r="F69" i="1"/>
  <c r="G11" i="8"/>
  <c r="F11" i="8"/>
  <c r="C7" i="8"/>
  <c r="C11" i="8" s="1"/>
  <c r="C42" i="4"/>
  <c r="C43" i="4" s="1"/>
  <c r="C44" i="4" s="1"/>
  <c r="D39" i="5"/>
  <c r="E9" i="8" s="1"/>
  <c r="B49" i="1"/>
  <c r="C71" i="1" s="1"/>
  <c r="E49" i="1"/>
  <c r="G70" i="1" s="1"/>
  <c r="G69" i="1" l="1"/>
  <c r="F71" i="1"/>
  <c r="G71" i="1"/>
  <c r="C69" i="1"/>
  <c r="C70" i="1"/>
  <c r="D69" i="1"/>
  <c r="D70" i="1"/>
  <c r="D71" i="1"/>
  <c r="C45" i="4"/>
  <c r="D8" i="8" s="1"/>
  <c r="D40" i="4"/>
  <c r="D42" i="4" s="1"/>
  <c r="G18" i="1" l="1"/>
  <c r="G19" i="1" s="1"/>
  <c r="F18" i="1"/>
  <c r="D43" i="4"/>
  <c r="D44" i="4" s="1"/>
  <c r="G39" i="5"/>
  <c r="I9" i="8" s="1"/>
  <c r="K9" i="8" s="1"/>
  <c r="F39" i="5"/>
  <c r="H9" i="8" s="1"/>
  <c r="C18" i="1" l="1"/>
  <c r="C46" i="1" s="1"/>
  <c r="C47" i="1" s="1"/>
  <c r="C48" i="1" s="1"/>
  <c r="F19" i="1"/>
  <c r="F46" i="1"/>
  <c r="F47" i="1" s="1"/>
  <c r="F48" i="1" s="1"/>
  <c r="D45" i="4"/>
  <c r="E8" i="8" s="1"/>
  <c r="G46" i="1"/>
  <c r="G47" i="1" s="1"/>
  <c r="G48" i="1" s="1"/>
  <c r="D18" i="1"/>
  <c r="D46" i="1" s="1"/>
  <c r="F40" i="4"/>
  <c r="F42" i="4" s="1"/>
  <c r="F43" i="4" s="1"/>
  <c r="G40" i="4"/>
  <c r="G42" i="4" s="1"/>
  <c r="G43" i="4" s="1"/>
  <c r="G49" i="1" l="1"/>
  <c r="F49" i="1"/>
  <c r="H7" i="8" s="1"/>
  <c r="C19" i="1"/>
  <c r="C49" i="1"/>
  <c r="D7" i="8" s="1"/>
  <c r="G45" i="4"/>
  <c r="I8" i="8" s="1"/>
  <c r="K8" i="8" s="1"/>
  <c r="G44" i="4"/>
  <c r="F45" i="4"/>
  <c r="H8" i="8" s="1"/>
  <c r="J8" i="8" s="1"/>
  <c r="F44" i="4"/>
  <c r="D19" i="1"/>
  <c r="C39" i="5"/>
  <c r="D9" i="8" s="1"/>
  <c r="G68" i="1" l="1"/>
  <c r="F68" i="1"/>
  <c r="C68" i="1"/>
  <c r="D68" i="1"/>
  <c r="D11" i="8"/>
  <c r="J9" i="8"/>
  <c r="H11" i="8"/>
  <c r="J7" i="8"/>
  <c r="D47" i="1"/>
  <c r="D48" i="1" s="1"/>
  <c r="J11" i="8" l="1"/>
  <c r="D49" i="1"/>
  <c r="E7" i="8" l="1"/>
  <c r="E11" i="8" l="1"/>
  <c r="I7" i="8"/>
  <c r="I11" i="8" s="1"/>
  <c r="K7" i="8" l="1"/>
  <c r="K11" i="8" s="1"/>
</calcChain>
</file>

<file path=xl/sharedStrings.xml><?xml version="1.0" encoding="utf-8"?>
<sst xmlns="http://schemas.openxmlformats.org/spreadsheetml/2006/main" count="354" uniqueCount="171">
  <si>
    <t>Tipo de empresa</t>
  </si>
  <si>
    <t>%</t>
  </si>
  <si>
    <t>Gran empresa</t>
  </si>
  <si>
    <t>Simulació per al càlcul de l'ajut</t>
  </si>
  <si>
    <t>Programa 1: Autoconsum elèctric</t>
  </si>
  <si>
    <t>Despeses</t>
  </si>
  <si>
    <t>Quantitat</t>
  </si>
  <si>
    <t>Import total sense IVA (€)</t>
  </si>
  <si>
    <t>SOL·LICITUD</t>
  </si>
  <si>
    <t>JUSTIFICACIÓ</t>
  </si>
  <si>
    <t>Import total amb IVA (€)</t>
  </si>
  <si>
    <t>Mitjana empresa</t>
  </si>
  <si>
    <t>Petita empresa</t>
  </si>
  <si>
    <t>Estructura</t>
  </si>
  <si>
    <t>Inversor / Convertidor</t>
  </si>
  <si>
    <t>Quadres, proteccions i cables</t>
  </si>
  <si>
    <t>Obres civils, grues i gestió de residus</t>
  </si>
  <si>
    <t>Sistema de control i monitorització</t>
  </si>
  <si>
    <t>Estudis, projectes o memòries tècniques</t>
  </si>
  <si>
    <t>Direcció facultativa</t>
  </si>
  <si>
    <t>Coordinació de Seguretat i Salut</t>
  </si>
  <si>
    <t>Muntatge i costos d'execució</t>
  </si>
  <si>
    <t>Publicitat convocatòria</t>
  </si>
  <si>
    <t>Documentació de tramitació</t>
  </si>
  <si>
    <t>Altres partides necessàries</t>
  </si>
  <si>
    <t>Panells solars</t>
  </si>
  <si>
    <t>Marquesines</t>
  </si>
  <si>
    <t>Eliminació d’amiant</t>
  </si>
  <si>
    <t>Canvi de tensió 230/400V</t>
  </si>
  <si>
    <r>
      <t xml:space="preserve">Ps potència real de la instal·lació de generació fotovoltaica (kWp) </t>
    </r>
    <r>
      <rPr>
        <sz val="11"/>
        <color theme="1"/>
        <rFont val="Calibri"/>
        <family val="2"/>
      </rPr>
      <t>≤ 500 kWp</t>
    </r>
  </si>
  <si>
    <t>Actuació autoconsum</t>
  </si>
  <si>
    <t>Ca1</t>
  </si>
  <si>
    <t>Ca2</t>
  </si>
  <si>
    <t>Ca3</t>
  </si>
  <si>
    <t>Ca4</t>
  </si>
  <si>
    <t>Cost unitari (€/kW)</t>
  </si>
  <si>
    <t>Cost (€)</t>
  </si>
  <si>
    <t>Cost complementari subvencionable màxim marquesines €/kWp (Ca2)</t>
  </si>
  <si>
    <t>Cost complementari subvencionable màxim d’eliminació d’amiant €/kWp (Ca3)</t>
  </si>
  <si>
    <t>Cost complementari subvencionable màxim del canvi de tensió 230/400 €/kWp (Ca4)</t>
  </si>
  <si>
    <t>A3</t>
  </si>
  <si>
    <t>Instal·lació fotovoltaica 100 kWp &lt; Ps ≤ 500 kWp</t>
  </si>
  <si>
    <t>Instal·lació fotovoltaica 10 kWp &lt; Ps ≤ 100 kWp</t>
  </si>
  <si>
    <t>Instal·lació fotovoltaica Ps ≤ 10 kWp</t>
  </si>
  <si>
    <t>A2</t>
  </si>
  <si>
    <t>A1</t>
  </si>
  <si>
    <r>
      <t>Cost subvencionable de la instal·lació (</t>
    </r>
    <r>
      <rPr>
        <b/>
        <sz val="11"/>
        <color theme="1"/>
        <rFont val="Calibri"/>
        <family val="2"/>
      </rPr>
      <t>€)</t>
    </r>
  </si>
  <si>
    <r>
      <t>Quantia de l'ajut (</t>
    </r>
    <r>
      <rPr>
        <b/>
        <sz val="11"/>
        <color theme="1"/>
        <rFont val="Calibri"/>
        <family val="2"/>
      </rPr>
      <t>€)</t>
    </r>
  </si>
  <si>
    <t xml:space="preserve">Cost subvencionable màxim total </t>
  </si>
  <si>
    <t>TAULA 1</t>
  </si>
  <si>
    <t>TAULES FACTOR INSULARITAT</t>
  </si>
  <si>
    <t>TAULA 2</t>
  </si>
  <si>
    <t>Tipus d'empresa</t>
  </si>
  <si>
    <t>Quantia de l'ajut base (%)</t>
  </si>
  <si>
    <t>Ps</t>
  </si>
  <si>
    <t>No es podrà concedir un ajut superior al que el beneficiari hagi declarat en la sol·licitud.</t>
  </si>
  <si>
    <t>En el conjunt de tots els programes d’ajut s’estableix un límit de 300.000 euros d’ajut per beneficiari.</t>
  </si>
  <si>
    <t>Notes:</t>
  </si>
  <si>
    <t>En tot cas, l’ajut final que ha de percebre el sol·licitant no pot superar el cost subvencionable total de l’actuació efectivament realitzada, convenientment justificat.</t>
  </si>
  <si>
    <t>El valor de l'ajut final de la justificació queda limitat per l'import de la subvenció concedida.</t>
  </si>
  <si>
    <t>Introducció</t>
  </si>
  <si>
    <t>Les cel·les marcades en color taronja s'han d'introduir per l'usuari.</t>
  </si>
  <si>
    <t>L’IVA és subvencionable en el cas del tipus de beneficiari sense activitat sempre que no pugui ser susceptible de recuperació o compensació total o parcial.</t>
  </si>
  <si>
    <t xml:space="preserve">La Direcció General d’Economia Circular, Transició Energètica i Canvi Climàtic ha desenvolupat aquesta eina de simulació per al cálcul de l'ajut per a la convocatòria pública de subvencions 2026-2027 per al foment d’inversions en energies renovables, emmagatzematge elèctric i infraestructura de recàrrega dins el marc de Factor d’Insularitat de les Illes Balears (Factor de insularitat 2026-2027). Aquesta eina és pública i de lliure ús; la utilització d'aquesta eina és responsabilitat exclusiva de l'usuari, aquesta Dirección General no assumeix cap responsabilitat sobre la utilització que se'n faci. </t>
  </si>
  <si>
    <t>El termini per presentar les sol·licituds s’inicia a partir del cinquè dia hàbil de la publicació d’aquesta Resolució en el Butlletí Oficial de les Illes Balears i finalitza el 28 de febrer de 2027.</t>
  </si>
  <si>
    <t>Tots els programes d’actuació per emplaçament s’han de presentar en la mateixa sol·licitud.</t>
  </si>
  <si>
    <t>En el cas dels beneficiaris indicats en l’apartat 2.1 d’aquesta convocatòria englobats en la lletra a) només poden presentar una sol·licitud per cada programa d’actuació.</t>
  </si>
  <si>
    <t>Només poden ser objecte d’ajut els equips que siguin nous, excepte les bateries procedents de la reutilització de bateries de vehicle elèctric (segona vida de bateries).</t>
  </si>
  <si>
    <t>Només és subvencionable una instal·lació per subministrament elèctric (CUPS) o per emplaçament en instal·lacions elèctriques aïllades o en instal·lacions tèrmiques.</t>
  </si>
  <si>
    <t xml:space="preserve">En tot cas, per a l’exercici 2027, la resolució d’atorgament no ha d’establir una data per a la realització de la inversió superior al 15 de setembre de 2027. </t>
  </si>
  <si>
    <t>Instruccions:</t>
  </si>
  <si>
    <t>Amb caràcter general es consideren despeses elegibles els que s’especifiquen al punt setè de la convocatòria.</t>
  </si>
  <si>
    <t>COST DE L’ACTUACIÓ FOTOVOLTAICA DEL PROGRAMA 1</t>
  </si>
  <si>
    <t xml:space="preserve">Són subvencionables en aquesta convocatòria els programes d’actuació següents que es detallen a continuació i que compleixin els requisits establerts en aquesta convocatòria:
— Programa d’actuació 1: implantació d’instal·lacions d’autoconsum amb fonts d’energia renovable. 
— Programa d’actuació 2: implantació de noves instal·lacions tèrmiques amb fonts renovables de la tecnologia aerotèrmica (exceptuant les tecnologies aire-aire), per a la climatització i/o aigua calenta sanitària.
— Programa actuació 3: instal·lacions d’emmagatzematge elèctric d’autoconsum. 
— Programa d’actuació 4: implantació de nova infraestructura de recàrrega per a vehicle elèctric d’accés privat. </t>
  </si>
  <si>
    <t>Factor de Insularitat 2026-2027</t>
  </si>
  <si>
    <t>Instruccions per a l'ús de l'eina de simulació per al càlcul de l'ajut per a la convocatòria pública de subvencions Factor de Insularitat 2026-2027</t>
  </si>
  <si>
    <t>Programa 2: Generació tèrmica renovable</t>
  </si>
  <si>
    <t xml:space="preserve">Cost unitari elegible subvencionable màxim €/kWt </t>
  </si>
  <si>
    <t xml:space="preserve">PT és la potència en calefacció extreta de la fitxa tècnica o especificacions del fabricant </t>
  </si>
  <si>
    <t>PT</t>
  </si>
  <si>
    <t>Generadors SPF&gt;2,5</t>
  </si>
  <si>
    <t>Distribució interior i equipaments</t>
  </si>
  <si>
    <t>Cb1</t>
  </si>
  <si>
    <t>Cb2</t>
  </si>
  <si>
    <t>Instal·lacions d’aerotèrmia</t>
  </si>
  <si>
    <t>TAULA 3</t>
  </si>
  <si>
    <t>TAULA 4</t>
  </si>
  <si>
    <t>Actuació generació tèrmica</t>
  </si>
  <si>
    <t>Cost unitari de la instal·lació tèrmica de referència €/kWt</t>
  </si>
  <si>
    <t>Cost unitari  subvencionable màxim tèrmic €/kWt (Cb1)</t>
  </si>
  <si>
    <t>C3</t>
  </si>
  <si>
    <t>C2</t>
  </si>
  <si>
    <t>C1</t>
  </si>
  <si>
    <t>NO</t>
  </si>
  <si>
    <t>Cost unitari màxim subvencionable nous sistemes de distribució i elements terminals €/kWt (Cb2)</t>
  </si>
  <si>
    <t>Emissors (elements terminals)</t>
  </si>
  <si>
    <t>Beneficiaris indicats a l'apartat 1 del punt segon, lletres a) i b) (Persones físiques)</t>
  </si>
  <si>
    <t>Instal·lacions d’aerotèrmia amb nous sistemes de distribució i elements terminals</t>
  </si>
  <si>
    <t>Cuf</t>
  </si>
  <si>
    <t>Ceum</t>
  </si>
  <si>
    <t>Cost subvencionable unitari de la instal·lació C1 (€/kW)</t>
  </si>
  <si>
    <t>Si l’IVA NO és subvencionable</t>
  </si>
  <si>
    <t>Si l’IVA és subvencionable</t>
  </si>
  <si>
    <t>COST DE L’ACTUACIÓ DE LA GENERACIÓ TÈRMICA RENOVABLE DEL PROGRAMA 2</t>
  </si>
  <si>
    <t>Programa 3: Emmagatzematge per autocomsum</t>
  </si>
  <si>
    <t>TAULA 5</t>
  </si>
  <si>
    <t>TAULA 6</t>
  </si>
  <si>
    <t>B3</t>
  </si>
  <si>
    <t>Actuació d'autoconsum</t>
  </si>
  <si>
    <t>100 kWh &lt; Capacitat ≤ 200 kWh</t>
  </si>
  <si>
    <t>10 kWh &lt; Capacitat ≤ 100 kWh</t>
  </si>
  <si>
    <t>Capacitat ≤ 10 kWh</t>
  </si>
  <si>
    <t>Cap</t>
  </si>
  <si>
    <r>
      <t xml:space="preserve">Capacitat nominal de la instal·lació d'emmagatzematge (kWh) </t>
    </r>
    <r>
      <rPr>
        <sz val="11"/>
        <color theme="1"/>
        <rFont val="Calibri"/>
        <family val="2"/>
      </rPr>
      <t>≤ 200 kWp</t>
    </r>
  </si>
  <si>
    <t>COST DE L’ACTUACIÓ D'EMMAGATZEMATGE DEL PROGRAMA 3</t>
  </si>
  <si>
    <t>Acumuladors ió-liti</t>
  </si>
  <si>
    <t>Notes:
En aquest programa s’estableixen els límits per installació següents:
a) 25.000 euros per als beneficiaris indicats a l’apartat 1 del punt segon, lletres a) i b).
b) 100.000 euros per a la resta de beneficiaris indicats en la lletra a) anterior.</t>
  </si>
  <si>
    <t>La instal·lació s'ha de poder explotar sense que sigui necessària la instal·lació d'un transformador.</t>
  </si>
  <si>
    <t>B1</t>
  </si>
  <si>
    <t>B2</t>
  </si>
  <si>
    <t>BS</t>
  </si>
  <si>
    <t>CS</t>
  </si>
  <si>
    <t>AS</t>
  </si>
  <si>
    <t>La potència total instal·lada de la instal·lació, incloses les ampliacions (kW) ≤ 500 kW</t>
  </si>
  <si>
    <t>Pi</t>
  </si>
  <si>
    <r>
      <t>Cost subvencionable de la instal·lació BS (</t>
    </r>
    <r>
      <rPr>
        <b/>
        <sz val="11"/>
        <color theme="1"/>
        <rFont val="Calibri"/>
        <family val="2"/>
      </rPr>
      <t>€)</t>
    </r>
  </si>
  <si>
    <r>
      <t>Cost subvencionable de la instal·lació CS (</t>
    </r>
    <r>
      <rPr>
        <b/>
        <sz val="11"/>
        <color theme="1"/>
        <rFont val="Calibri"/>
        <family val="2"/>
      </rPr>
      <t>€)</t>
    </r>
  </si>
  <si>
    <t>Programa 4: Infraestructura de recàrrega</t>
  </si>
  <si>
    <t>Beneficiaris indicats a l'apartat 1 del punt segon, lletres a) (Persones físiques sense activitat econòmica)</t>
  </si>
  <si>
    <t>Equips punts de recàrrega</t>
  </si>
  <si>
    <r>
      <t xml:space="preserve">Potència total instal·lada de la nova infraestructura de recàrrega d'accés privat </t>
    </r>
    <r>
      <rPr>
        <sz val="11"/>
        <color theme="1"/>
        <rFont val="Calibri"/>
        <family val="2"/>
      </rPr>
      <t>≤ 15 kW</t>
    </r>
  </si>
  <si>
    <t>Cost subvencionable unitari de la instal·lació (€/kW)</t>
  </si>
  <si>
    <t>TAULA 7</t>
  </si>
  <si>
    <t>Minimis i no ajuts d'estat</t>
  </si>
  <si>
    <t>Cost subvencionable màxim total</t>
  </si>
  <si>
    <t>Ca1 acumulatiu Sol·licitud sense IVA</t>
  </si>
  <si>
    <t>Ca1 acumulatiu Sol·licitud amb IVA</t>
  </si>
  <si>
    <t>Cost subvencionable màxim total (€)</t>
  </si>
  <si>
    <t>Ca1 acumulatiu Justificació sense IVA</t>
  </si>
  <si>
    <t>Ca1 acumulatiu Justificació amb IVA</t>
  </si>
  <si>
    <t>Cost subvencionable de la instal·lació AS (€)</t>
  </si>
  <si>
    <r>
      <t>Diferència entre inversió sol·licitada i cost subvencionable (</t>
    </r>
    <r>
      <rPr>
        <sz val="11"/>
        <color theme="1"/>
        <rFont val="Calibri"/>
        <family val="2"/>
      </rPr>
      <t>€)</t>
    </r>
  </si>
  <si>
    <r>
      <t>Diferència entre inversió sol·licitada i cost elegible subvencionable (</t>
    </r>
    <r>
      <rPr>
        <sz val="11"/>
        <color theme="1"/>
        <rFont val="Calibri"/>
        <family val="2"/>
      </rPr>
      <t>€)</t>
    </r>
  </si>
  <si>
    <t>COST DE L’ACTUACIÓ DE LA INFRAESTRUCTURA DE RECÀRREGA DEL PROGRAMA 4</t>
  </si>
  <si>
    <t>Resum de l'actuació</t>
  </si>
  <si>
    <t>Ca1 max</t>
  </si>
  <si>
    <t>Quantia de l'ajut sense IVA (€)</t>
  </si>
  <si>
    <t>Quantia de l'ajut amb IVA (€)</t>
  </si>
  <si>
    <t>PROGRAMA 1: FOTOVOLTAICA</t>
  </si>
  <si>
    <t>PROGRAMA 2: GENERACIÓ TÈRMICA RENOVABLE</t>
  </si>
  <si>
    <t xml:space="preserve">PROGRAMA 3: EMMAGATZEMATGE </t>
  </si>
  <si>
    <t>PROGRAMA 4: INFRAESTRUCTURA DE RECÀRREGA</t>
  </si>
  <si>
    <t>TOTAL</t>
  </si>
  <si>
    <t>COST DE LES ACTUACIONS</t>
  </si>
  <si>
    <t>DESVINCULACIÓ</t>
  </si>
  <si>
    <t>COMENTARIS</t>
  </si>
  <si>
    <t>Cost màxim subvencionable generació €/kWp (Ca1)</t>
  </si>
  <si>
    <t>Cost subvencionable unitari de la instal·lació A1 (€/kWp)</t>
  </si>
  <si>
    <t>Cost subvencionable unitari generació de la instal·lació sol·licitada (€/kWp)</t>
  </si>
  <si>
    <t>Cost subvencionable unitari de la instal·lació sol·licitada (€/kWp)</t>
  </si>
  <si>
    <t>Cost subvencionable generació de la instal·lació sol·licitada (€)</t>
  </si>
  <si>
    <t>Cost subvencionable de la instal·lació sol·licitada (€)</t>
  </si>
  <si>
    <t>Cost subvencionable unitari de la instal·lació sol·licitada (€/kW)</t>
  </si>
  <si>
    <t>Cost subvencionable unitari de la instal·lació B1 (€/kWh)</t>
  </si>
  <si>
    <t>Cost subvencionable unitari de la instal·lació sol·licitada (€/kWh)</t>
  </si>
  <si>
    <t>Cost unitari (€/kWh)</t>
  </si>
  <si>
    <t>Cost de la instal·lació tèrmica de referència (€)</t>
  </si>
  <si>
    <t>Cost elegible subvencionable de la instal·lació sol·licitada (€)</t>
  </si>
  <si>
    <t>Cost unitari sense IVA (€/kWp)</t>
  </si>
  <si>
    <t>Cost unitari amb IVA (€/kWp)</t>
  </si>
  <si>
    <t>Rev_260929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</si>
</sst>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0"/>
      <color rgb="FF000000"/>
      <name val="Noto Sans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2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9" fontId="0" fillId="0" borderId="0" xfId="0" applyNumberForma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4" fillId="0" borderId="0" xfId="0" applyFont="1" applyAlignment="1">
      <alignment vertical="top"/>
    </xf>
    <xf numFmtId="10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164" fontId="0" fillId="0" borderId="0" xfId="0" applyNumberFormat="1" applyAlignment="1">
      <alignment horizontal="right" vertical="top"/>
    </xf>
    <xf numFmtId="164" fontId="1" fillId="0" borderId="0" xfId="0" applyNumberFormat="1" applyFont="1" applyAlignment="1">
      <alignment vertical="top"/>
    </xf>
    <xf numFmtId="9" fontId="1" fillId="0" borderId="0" xfId="0" applyNumberFormat="1" applyFont="1" applyAlignment="1">
      <alignment horizontal="center" vertical="top"/>
    </xf>
    <xf numFmtId="0" fontId="1" fillId="0" borderId="0" xfId="0" applyFont="1"/>
    <xf numFmtId="164" fontId="0" fillId="2" borderId="1" xfId="0" applyNumberForma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9" fontId="1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9" fillId="0" borderId="0" xfId="1" applyFont="1" applyAlignment="1">
      <alignment horizontal="left" vertical="center" wrapText="1"/>
    </xf>
    <xf numFmtId="0" fontId="11" fillId="0" borderId="0" xfId="1" applyFon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6" xfId="0" applyNumberForma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0" fontId="0" fillId="0" borderId="5" xfId="0" applyBorder="1" applyAlignment="1">
      <alignment vertical="top" wrapText="1"/>
    </xf>
    <xf numFmtId="164" fontId="0" fillId="2" borderId="10" xfId="0" applyNumberFormat="1" applyFill="1" applyBorder="1" applyAlignment="1" applyProtection="1">
      <alignment vertical="top"/>
      <protection locked="0"/>
    </xf>
    <xf numFmtId="0" fontId="1" fillId="0" borderId="11" xfId="0" applyFont="1" applyBorder="1" applyAlignment="1">
      <alignment horizontal="center" vertical="top"/>
    </xf>
    <xf numFmtId="9" fontId="1" fillId="0" borderId="12" xfId="0" applyNumberFormat="1" applyFont="1" applyBorder="1" applyAlignment="1">
      <alignment horizontal="center" vertical="top"/>
    </xf>
    <xf numFmtId="164" fontId="0" fillId="0" borderId="5" xfId="0" applyNumberFormat="1" applyBorder="1" applyAlignment="1">
      <alignment horizontal="right" vertical="top"/>
    </xf>
    <xf numFmtId="164" fontId="0" fillId="0" borderId="11" xfId="0" applyNumberFormat="1" applyBorder="1" applyAlignment="1">
      <alignment vertical="top"/>
    </xf>
    <xf numFmtId="164" fontId="0" fillId="0" borderId="5" xfId="0" applyNumberFormat="1" applyBorder="1" applyAlignment="1">
      <alignment vertical="top"/>
    </xf>
    <xf numFmtId="164" fontId="1" fillId="0" borderId="16" xfId="0" applyNumberFormat="1" applyFont="1" applyBorder="1" applyAlignment="1">
      <alignment horizontal="center" vertical="top"/>
    </xf>
    <xf numFmtId="164" fontId="1" fillId="0" borderId="17" xfId="0" applyNumberFormat="1" applyFont="1" applyBorder="1" applyAlignment="1">
      <alignment vertical="top"/>
    </xf>
    <xf numFmtId="164" fontId="0" fillId="0" borderId="17" xfId="0" applyNumberFormat="1" applyBorder="1" applyAlignment="1">
      <alignment vertical="top"/>
    </xf>
    <xf numFmtId="164" fontId="1" fillId="0" borderId="18" xfId="0" applyNumberFormat="1" applyFont="1" applyBorder="1" applyAlignment="1">
      <alignment horizontal="center" vertical="top"/>
    </xf>
    <xf numFmtId="164" fontId="1" fillId="0" borderId="19" xfId="0" applyNumberFormat="1" applyFont="1" applyBorder="1" applyAlignment="1">
      <alignment vertical="top"/>
    </xf>
    <xf numFmtId="164" fontId="0" fillId="0" borderId="19" xfId="0" applyNumberForma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164" fontId="1" fillId="0" borderId="21" xfId="0" applyNumberFormat="1" applyFont="1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3" xfId="0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4" xfId="0" applyFont="1" applyBorder="1" applyAlignment="1">
      <alignment vertical="top"/>
    </xf>
    <xf numFmtId="0" fontId="0" fillId="0" borderId="24" xfId="0" applyBorder="1" applyAlignment="1">
      <alignment vertical="top" wrapText="1"/>
    </xf>
    <xf numFmtId="0" fontId="0" fillId="0" borderId="24" xfId="0" applyBorder="1" applyAlignment="1">
      <alignment vertical="top"/>
    </xf>
    <xf numFmtId="0" fontId="5" fillId="0" borderId="24" xfId="0" applyFont="1" applyBorder="1" applyAlignment="1">
      <alignment vertical="top" wrapText="1"/>
    </xf>
    <xf numFmtId="0" fontId="0" fillId="2" borderId="24" xfId="0" applyFill="1" applyBorder="1" applyAlignment="1" applyProtection="1">
      <alignment vertical="top" wrapText="1"/>
      <protection locked="0"/>
    </xf>
    <xf numFmtId="0" fontId="1" fillId="0" borderId="23" xfId="0" applyFont="1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1" fillId="0" borderId="23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0" fillId="0" borderId="5" xfId="0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164" fontId="0" fillId="0" borderId="0" xfId="0" applyNumberFormat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4" xfId="0" applyBorder="1" applyAlignment="1">
      <alignment horizontal="left" vertical="top"/>
    </xf>
    <xf numFmtId="0" fontId="0" fillId="2" borderId="6" xfId="0" applyFill="1" applyBorder="1" applyAlignment="1">
      <alignment vertical="top"/>
    </xf>
    <xf numFmtId="165" fontId="1" fillId="2" borderId="0" xfId="0" applyNumberFormat="1" applyFont="1" applyFill="1" applyAlignment="1" applyProtection="1">
      <alignment horizontal="center" vertical="top"/>
      <protection locked="0"/>
    </xf>
    <xf numFmtId="164" fontId="0" fillId="0" borderId="16" xfId="0" applyNumberFormat="1" applyBorder="1" applyAlignment="1">
      <alignment vertical="top"/>
    </xf>
    <xf numFmtId="2" fontId="0" fillId="2" borderId="26" xfId="0" applyNumberFormat="1" applyFill="1" applyBorder="1" applyAlignment="1" applyProtection="1">
      <alignment vertical="top"/>
      <protection locked="0"/>
    </xf>
    <xf numFmtId="2" fontId="0" fillId="2" borderId="26" xfId="0" applyNumberFormat="1" applyFill="1" applyBorder="1" applyAlignment="1" applyProtection="1">
      <alignment vertical="top" wrapText="1"/>
      <protection locked="0"/>
    </xf>
    <xf numFmtId="164" fontId="0" fillId="0" borderId="18" xfId="0" applyNumberForma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4" fontId="1" fillId="0" borderId="5" xfId="0" applyNumberFormat="1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2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9" fontId="1" fillId="0" borderId="5" xfId="0" applyNumberFormat="1" applyFont="1" applyBorder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13" fillId="0" borderId="6" xfId="0" applyFont="1" applyBorder="1" applyAlignment="1">
      <alignment horizontal="center" vertical="top"/>
    </xf>
    <xf numFmtId="9" fontId="0" fillId="0" borderId="30" xfId="0" applyNumberFormat="1" applyBorder="1" applyAlignment="1">
      <alignment horizontal="center" vertical="top"/>
    </xf>
    <xf numFmtId="0" fontId="1" fillId="2" borderId="31" xfId="0" applyFont="1" applyFill="1" applyBorder="1" applyAlignment="1" applyProtection="1">
      <alignment vertical="top"/>
      <protection locked="0"/>
    </xf>
    <xf numFmtId="0" fontId="0" fillId="0" borderId="32" xfId="0" applyBorder="1" applyAlignment="1">
      <alignment vertical="top"/>
    </xf>
    <xf numFmtId="0" fontId="1" fillId="0" borderId="37" xfId="0" applyFont="1" applyBorder="1" applyAlignment="1">
      <alignment horizontal="right" vertical="top"/>
    </xf>
    <xf numFmtId="0" fontId="0" fillId="2" borderId="32" xfId="0" applyFill="1" applyBorder="1" applyAlignment="1">
      <alignment vertical="top"/>
    </xf>
    <xf numFmtId="0" fontId="0" fillId="0" borderId="0" xfId="0" applyAlignment="1">
      <alignment horizontal="left" vertical="center" wrapText="1"/>
    </xf>
    <xf numFmtId="0" fontId="8" fillId="0" borderId="0" xfId="1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40" xfId="0" applyFont="1" applyBorder="1" applyAlignment="1">
      <alignment horizontal="right" vertical="top"/>
    </xf>
    <xf numFmtId="0" fontId="1" fillId="0" borderId="37" xfId="0" applyFont="1" applyBorder="1" applyAlignment="1">
      <alignment horizontal="right" vertical="top" wrapText="1"/>
    </xf>
    <xf numFmtId="164" fontId="0" fillId="0" borderId="9" xfId="0" applyNumberFormat="1" applyBorder="1" applyAlignment="1">
      <alignment vertical="top"/>
    </xf>
    <xf numFmtId="164" fontId="0" fillId="0" borderId="10" xfId="0" applyNumberFormat="1" applyBorder="1" applyAlignment="1">
      <alignment vertical="top"/>
    </xf>
    <xf numFmtId="164" fontId="1" fillId="0" borderId="38" xfId="0" applyNumberFormat="1" applyFont="1" applyBorder="1" applyAlignment="1">
      <alignment horizontal="right" vertical="top"/>
    </xf>
    <xf numFmtId="164" fontId="1" fillId="0" borderId="39" xfId="0" applyNumberFormat="1" applyFont="1" applyBorder="1" applyAlignment="1">
      <alignment horizontal="right" vertical="top"/>
    </xf>
    <xf numFmtId="0" fontId="7" fillId="0" borderId="0" xfId="1" applyFont="1" applyAlignment="1">
      <alignment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0" fillId="0" borderId="0" xfId="1" applyFont="1" applyAlignment="1">
      <alignment vertical="center" wrapText="1"/>
    </xf>
    <xf numFmtId="0" fontId="1" fillId="0" borderId="40" xfId="0" applyFont="1" applyBorder="1" applyAlignment="1">
      <alignment horizontal="right" vertical="top" wrapText="1"/>
    </xf>
    <xf numFmtId="0" fontId="1" fillId="0" borderId="41" xfId="0" applyFont="1" applyBorder="1" applyAlignment="1">
      <alignment horizontal="right" vertical="top" wrapText="1"/>
    </xf>
    <xf numFmtId="164" fontId="0" fillId="0" borderId="3" xfId="0" applyNumberFormat="1" applyBorder="1" applyAlignment="1">
      <alignment vertical="top"/>
    </xf>
    <xf numFmtId="164" fontId="1" fillId="0" borderId="42" xfId="0" applyNumberFormat="1" applyFont="1" applyBorder="1" applyAlignment="1">
      <alignment horizontal="right" vertical="top"/>
    </xf>
    <xf numFmtId="164" fontId="0" fillId="0" borderId="38" xfId="0" applyNumberFormat="1" applyBorder="1" applyAlignment="1">
      <alignment vertical="top"/>
    </xf>
    <xf numFmtId="164" fontId="0" fillId="0" borderId="39" xfId="0" applyNumberFormat="1" applyBorder="1" applyAlignment="1">
      <alignment vertical="top"/>
    </xf>
    <xf numFmtId="0" fontId="0" fillId="0" borderId="0" xfId="0" applyAlignment="1" applyProtection="1">
      <alignment vertical="top" wrapText="1"/>
      <protection hidden="1"/>
    </xf>
    <xf numFmtId="0" fontId="4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0" fillId="0" borderId="3" xfId="0" applyBorder="1" applyAlignment="1" applyProtection="1">
      <alignment vertical="top"/>
      <protection hidden="1"/>
    </xf>
    <xf numFmtId="0" fontId="0" fillId="0" borderId="4" xfId="0" applyBorder="1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center" vertical="top"/>
      <protection locked="0" hidden="1"/>
    </xf>
    <xf numFmtId="9" fontId="1" fillId="0" borderId="1" xfId="0" applyNumberFormat="1" applyFont="1" applyBorder="1" applyAlignment="1" applyProtection="1">
      <alignment horizontal="center" vertical="top"/>
      <protection hidden="1"/>
    </xf>
    <xf numFmtId="9" fontId="0" fillId="0" borderId="0" xfId="0" applyNumberFormat="1" applyAlignment="1" applyProtection="1">
      <alignment horizontal="center" vertical="top"/>
      <protection hidden="1"/>
    </xf>
    <xf numFmtId="0" fontId="0" fillId="2" borderId="9" xfId="0" applyFill="1" applyBorder="1" applyAlignment="1" applyProtection="1">
      <alignment horizontal="center" vertical="top"/>
      <protection locked="0" hidden="1"/>
    </xf>
    <xf numFmtId="9" fontId="1" fillId="0" borderId="0" xfId="0" applyNumberFormat="1" applyFont="1" applyAlignment="1" applyProtection="1">
      <alignment horizontal="center" vertical="top"/>
      <protection hidden="1"/>
    </xf>
    <xf numFmtId="0" fontId="0" fillId="0" borderId="22" xfId="0" applyBorder="1" applyAlignment="1" applyProtection="1">
      <alignment vertical="top"/>
      <protection hidden="1"/>
    </xf>
    <xf numFmtId="0" fontId="0" fillId="0" borderId="23" xfId="0" applyBorder="1" applyAlignment="1" applyProtection="1">
      <alignment vertical="top"/>
      <protection hidden="1"/>
    </xf>
    <xf numFmtId="0" fontId="0" fillId="0" borderId="5" xfId="0" applyBorder="1" applyAlignment="1" applyProtection="1">
      <alignment vertical="top"/>
      <protection hidden="1"/>
    </xf>
    <xf numFmtId="0" fontId="0" fillId="0" borderId="6" xfId="0" applyBorder="1" applyAlignment="1" applyProtection="1">
      <alignment vertical="top"/>
      <protection hidden="1"/>
    </xf>
    <xf numFmtId="9" fontId="0" fillId="0" borderId="30" xfId="0" applyNumberFormat="1" applyBorder="1" applyAlignment="1" applyProtection="1">
      <alignment horizontal="center" vertical="top"/>
      <protection hidden="1"/>
    </xf>
    <xf numFmtId="0" fontId="0" fillId="0" borderId="32" xfId="0" applyBorder="1" applyAlignment="1" applyProtection="1">
      <alignment vertical="top"/>
      <protection hidden="1"/>
    </xf>
    <xf numFmtId="0" fontId="1" fillId="0" borderId="5" xfId="0" applyFont="1" applyBorder="1" applyAlignment="1" applyProtection="1">
      <alignment horizontal="center" vertical="top"/>
      <protection hidden="1"/>
    </xf>
    <xf numFmtId="165" fontId="1" fillId="2" borderId="0" xfId="0" applyNumberFormat="1" applyFont="1" applyFill="1" applyAlignment="1" applyProtection="1">
      <alignment horizontal="center" vertical="top"/>
      <protection locked="0" hidden="1"/>
    </xf>
    <xf numFmtId="9" fontId="1" fillId="0" borderId="5" xfId="0" applyNumberFormat="1" applyFont="1" applyBorder="1" applyAlignment="1" applyProtection="1">
      <alignment horizontal="center" vertical="top"/>
      <protection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0" fillId="0" borderId="5" xfId="0" applyBorder="1" applyAlignment="1" applyProtection="1">
      <alignment horizontal="center" vertical="top"/>
      <protection hidden="1"/>
    </xf>
    <xf numFmtId="0" fontId="1" fillId="0" borderId="6" xfId="0" applyFont="1" applyBorder="1" applyAlignment="1" applyProtection="1">
      <alignment horizontal="center" vertical="top"/>
      <protection hidden="1"/>
    </xf>
    <xf numFmtId="164" fontId="0" fillId="0" borderId="0" xfId="0" applyNumberFormat="1" applyAlignment="1" applyProtection="1">
      <alignment horizontal="right" vertical="top"/>
      <protection hidden="1"/>
    </xf>
    <xf numFmtId="164" fontId="0" fillId="0" borderId="5" xfId="0" applyNumberFormat="1" applyBorder="1" applyAlignment="1" applyProtection="1">
      <alignment horizontal="right" vertical="top"/>
      <protection hidden="1"/>
    </xf>
    <xf numFmtId="164" fontId="0" fillId="0" borderId="6" xfId="0" applyNumberFormat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center" vertical="top"/>
      <protection locked="0" hidden="1"/>
    </xf>
    <xf numFmtId="0" fontId="0" fillId="0" borderId="23" xfId="0" applyBorder="1" applyAlignment="1" applyProtection="1">
      <alignment vertical="top" wrapText="1"/>
      <protection hidden="1"/>
    </xf>
    <xf numFmtId="0" fontId="14" fillId="0" borderId="23" xfId="0" applyFont="1" applyBorder="1" applyAlignment="1" applyProtection="1">
      <alignment vertical="top" wrapText="1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164" fontId="1" fillId="0" borderId="0" xfId="0" applyNumberFormat="1" applyFont="1" applyAlignment="1" applyProtection="1">
      <alignment vertical="center"/>
      <protection hidden="1"/>
    </xf>
    <xf numFmtId="164" fontId="1" fillId="0" borderId="6" xfId="0" applyNumberFormat="1" applyFont="1" applyBorder="1" applyAlignment="1" applyProtection="1">
      <alignment vertical="center"/>
      <protection hidden="1"/>
    </xf>
    <xf numFmtId="0" fontId="15" fillId="0" borderId="23" xfId="0" applyFont="1" applyBorder="1" applyAlignment="1" applyProtection="1">
      <alignment vertical="top" wrapText="1"/>
      <protection hidden="1"/>
    </xf>
    <xf numFmtId="0" fontId="0" fillId="0" borderId="5" xfId="0" applyBorder="1" applyAlignment="1" applyProtection="1">
      <alignment vertical="top" wrapText="1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164" fontId="1" fillId="0" borderId="6" xfId="0" applyNumberFormat="1" applyFont="1" applyBorder="1" applyAlignment="1" applyProtection="1">
      <alignment vertical="top"/>
      <protection hidden="1"/>
    </xf>
    <xf numFmtId="164" fontId="0" fillId="0" borderId="12" xfId="0" applyNumberFormat="1" applyBorder="1" applyAlignment="1" applyProtection="1">
      <alignment horizontal="right" vertical="top"/>
      <protection hidden="1"/>
    </xf>
    <xf numFmtId="164" fontId="0" fillId="0" borderId="33" xfId="0" applyNumberFormat="1" applyBorder="1" applyAlignment="1" applyProtection="1">
      <alignment horizontal="right" vertical="top"/>
      <protection hidden="1"/>
    </xf>
    <xf numFmtId="0" fontId="0" fillId="0" borderId="34" xfId="0" applyBorder="1" applyAlignment="1" applyProtection="1">
      <alignment vertical="top"/>
      <protection hidden="1"/>
    </xf>
    <xf numFmtId="0" fontId="1" fillId="0" borderId="24" xfId="0" applyFont="1" applyBorder="1" applyAlignment="1" applyProtection="1">
      <alignment vertical="top" wrapText="1"/>
      <protection hidden="1"/>
    </xf>
    <xf numFmtId="0" fontId="1" fillId="0" borderId="24" xfId="0" applyFont="1" applyBorder="1" applyAlignment="1" applyProtection="1">
      <alignment vertical="top"/>
      <protection hidden="1"/>
    </xf>
    <xf numFmtId="0" fontId="1" fillId="0" borderId="7" xfId="0" applyFont="1" applyBorder="1" applyAlignment="1" applyProtection="1">
      <alignment vertical="top" wrapText="1"/>
      <protection hidden="1"/>
    </xf>
    <xf numFmtId="0" fontId="1" fillId="0" borderId="2" xfId="0" applyFont="1" applyBorder="1" applyAlignment="1" applyProtection="1">
      <alignment horizontal="right" vertical="top"/>
      <protection hidden="1"/>
    </xf>
    <xf numFmtId="0" fontId="1" fillId="0" borderId="8" xfId="0" applyFont="1" applyBorder="1" applyAlignment="1" applyProtection="1">
      <alignment horizontal="right" vertical="top"/>
      <protection hidden="1"/>
    </xf>
    <xf numFmtId="0" fontId="1" fillId="0" borderId="35" xfId="0" applyFont="1" applyBorder="1" applyAlignment="1" applyProtection="1">
      <alignment vertical="top" wrapText="1"/>
      <protection hidden="1"/>
    </xf>
    <xf numFmtId="0" fontId="1" fillId="0" borderId="36" xfId="0" applyFont="1" applyBorder="1" applyAlignment="1" applyProtection="1">
      <alignment horizontal="right" vertical="top"/>
      <protection hidden="1"/>
    </xf>
    <xf numFmtId="0" fontId="1" fillId="0" borderId="37" xfId="0" applyFont="1" applyBorder="1" applyAlignment="1" applyProtection="1">
      <alignment horizontal="right" vertical="top"/>
      <protection hidden="1"/>
    </xf>
    <xf numFmtId="0" fontId="0" fillId="0" borderId="24" xfId="0" applyBorder="1" applyAlignment="1" applyProtection="1">
      <alignment vertical="top" wrapText="1"/>
      <protection hidden="1"/>
    </xf>
    <xf numFmtId="2" fontId="0" fillId="2" borderId="26" xfId="0" applyNumberFormat="1" applyFill="1" applyBorder="1" applyAlignment="1" applyProtection="1">
      <alignment vertical="top" wrapText="1"/>
      <protection locked="0" hidden="1"/>
    </xf>
    <xf numFmtId="164" fontId="0" fillId="2" borderId="1" xfId="0" applyNumberFormat="1" applyFill="1" applyBorder="1" applyAlignment="1" applyProtection="1">
      <alignment vertical="top"/>
      <protection locked="0" hidden="1"/>
    </xf>
    <xf numFmtId="164" fontId="0" fillId="2" borderId="10" xfId="0" applyNumberFormat="1" applyFill="1" applyBorder="1" applyAlignment="1" applyProtection="1">
      <alignment vertical="top"/>
      <protection locked="0" hidden="1"/>
    </xf>
    <xf numFmtId="2" fontId="0" fillId="2" borderId="26" xfId="0" applyNumberFormat="1" applyFill="1" applyBorder="1" applyAlignment="1" applyProtection="1">
      <alignment vertical="top"/>
      <protection locked="0" hidden="1"/>
    </xf>
    <xf numFmtId="0" fontId="0" fillId="0" borderId="24" xfId="0" applyBorder="1" applyAlignment="1" applyProtection="1">
      <alignment vertical="top"/>
      <protection hidden="1"/>
    </xf>
    <xf numFmtId="0" fontId="0" fillId="2" borderId="24" xfId="0" applyFill="1" applyBorder="1" applyAlignment="1" applyProtection="1">
      <alignment vertical="top" wrapText="1"/>
      <protection locked="0" hidden="1"/>
    </xf>
    <xf numFmtId="0" fontId="0" fillId="0" borderId="23" xfId="0" applyBorder="1" applyAlignment="1" applyProtection="1">
      <alignment horizontal="right" vertical="top"/>
      <protection hidden="1"/>
    </xf>
    <xf numFmtId="0" fontId="1" fillId="0" borderId="11" xfId="0" applyFont="1" applyBorder="1" applyAlignment="1" applyProtection="1">
      <alignment horizontal="center" vertical="top"/>
      <protection hidden="1"/>
    </xf>
    <xf numFmtId="164" fontId="0" fillId="0" borderId="16" xfId="0" applyNumberFormat="1" applyBorder="1" applyAlignment="1" applyProtection="1">
      <alignment vertical="top"/>
      <protection hidden="1"/>
    </xf>
    <xf numFmtId="164" fontId="0" fillId="0" borderId="18" xfId="0" applyNumberFormat="1" applyBorder="1" applyAlignment="1" applyProtection="1">
      <alignment vertical="top"/>
      <protection hidden="1"/>
    </xf>
    <xf numFmtId="164" fontId="0" fillId="0" borderId="11" xfId="0" applyNumberFormat="1" applyBorder="1" applyAlignment="1" applyProtection="1">
      <alignment vertical="top"/>
      <protection hidden="1"/>
    </xf>
    <xf numFmtId="164" fontId="0" fillId="0" borderId="17" xfId="0" applyNumberFormat="1" applyBorder="1" applyAlignment="1" applyProtection="1">
      <alignment vertical="top"/>
      <protection hidden="1"/>
    </xf>
    <xf numFmtId="164" fontId="0" fillId="0" borderId="19" xfId="0" applyNumberFormat="1" applyBorder="1" applyAlignment="1" applyProtection="1">
      <alignment vertical="top"/>
      <protection hidden="1"/>
    </xf>
    <xf numFmtId="164" fontId="0" fillId="0" borderId="5" xfId="0" applyNumberFormat="1" applyBorder="1" applyAlignment="1" applyProtection="1">
      <alignment vertical="top"/>
      <protection hidden="1"/>
    </xf>
    <xf numFmtId="0" fontId="1" fillId="0" borderId="23" xfId="0" applyFont="1" applyBorder="1" applyAlignment="1" applyProtection="1">
      <alignment horizontal="right" vertical="top"/>
      <protection hidden="1"/>
    </xf>
    <xf numFmtId="164" fontId="1" fillId="0" borderId="16" xfId="0" applyNumberFormat="1" applyFont="1" applyBorder="1" applyAlignment="1" applyProtection="1">
      <alignment horizontal="center" vertical="top"/>
      <protection hidden="1"/>
    </xf>
    <xf numFmtId="164" fontId="1" fillId="0" borderId="18" xfId="0" applyNumberFormat="1" applyFont="1" applyBorder="1" applyAlignment="1" applyProtection="1">
      <alignment horizontal="center" vertical="top"/>
      <protection hidden="1"/>
    </xf>
    <xf numFmtId="164" fontId="1" fillId="0" borderId="5" xfId="0" applyNumberFormat="1" applyFont="1" applyBorder="1" applyAlignment="1" applyProtection="1">
      <alignment horizontal="center" vertical="top"/>
      <protection hidden="1"/>
    </xf>
    <xf numFmtId="0" fontId="1" fillId="0" borderId="23" xfId="0" applyFont="1" applyBorder="1" applyAlignment="1" applyProtection="1">
      <alignment vertical="top"/>
      <protection hidden="1"/>
    </xf>
    <xf numFmtId="164" fontId="1" fillId="0" borderId="17" xfId="0" applyNumberFormat="1" applyFont="1" applyBorder="1" applyAlignment="1" applyProtection="1">
      <alignment vertical="top"/>
      <protection hidden="1"/>
    </xf>
    <xf numFmtId="164" fontId="1" fillId="0" borderId="19" xfId="0" applyNumberFormat="1" applyFont="1" applyBorder="1" applyAlignment="1" applyProtection="1">
      <alignment vertical="top"/>
      <protection hidden="1"/>
    </xf>
    <xf numFmtId="10" fontId="0" fillId="0" borderId="0" xfId="0" applyNumberFormat="1" applyAlignment="1" applyProtection="1">
      <alignment vertical="top"/>
      <protection hidden="1"/>
    </xf>
    <xf numFmtId="0" fontId="1" fillId="0" borderId="25" xfId="0" applyFont="1" applyBorder="1" applyAlignment="1" applyProtection="1">
      <alignment vertical="top"/>
      <protection hidden="1"/>
    </xf>
    <xf numFmtId="9" fontId="1" fillId="0" borderId="12" xfId="0" applyNumberFormat="1" applyFont="1" applyBorder="1" applyAlignment="1" applyProtection="1">
      <alignment horizontal="center" vertical="top"/>
      <protection hidden="1"/>
    </xf>
    <xf numFmtId="164" fontId="1" fillId="0" borderId="20" xfId="0" applyNumberFormat="1" applyFont="1" applyBorder="1" applyAlignment="1" applyProtection="1">
      <alignment vertical="top"/>
      <protection hidden="1"/>
    </xf>
    <xf numFmtId="164" fontId="1" fillId="0" borderId="21" xfId="0" applyNumberFormat="1" applyFont="1" applyBorder="1" applyAlignment="1" applyProtection="1">
      <alignment vertical="top"/>
      <protection hidden="1"/>
    </xf>
    <xf numFmtId="0" fontId="14" fillId="0" borderId="0" xfId="0" applyFont="1" applyAlignment="1" applyProtection="1">
      <alignment horizontal="right" vertical="top"/>
      <protection hidden="1"/>
    </xf>
    <xf numFmtId="164" fontId="0" fillId="0" borderId="0" xfId="0" applyNumberFormat="1" applyAlignment="1" applyProtection="1">
      <alignment vertical="top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vertical="top"/>
      <protection hidden="1"/>
    </xf>
    <xf numFmtId="3" fontId="0" fillId="0" borderId="0" xfId="0" applyNumberFormat="1" applyAlignment="1" applyProtection="1">
      <alignment vertical="top"/>
      <protection hidden="1"/>
    </xf>
    <xf numFmtId="0" fontId="1" fillId="0" borderId="1" xfId="0" applyFont="1" applyBorder="1" applyAlignment="1" applyProtection="1">
      <alignment horizontal="center" vertical="top"/>
      <protection hidden="1"/>
    </xf>
    <xf numFmtId="0" fontId="6" fillId="0" borderId="1" xfId="0" applyFont="1" applyBorder="1" applyAlignment="1" applyProtection="1">
      <alignment vertical="top" wrapText="1"/>
      <protection hidden="1"/>
    </xf>
    <xf numFmtId="0" fontId="0" fillId="0" borderId="1" xfId="0" applyBorder="1" applyAlignment="1" applyProtection="1">
      <alignment vertical="top"/>
      <protection hidden="1"/>
    </xf>
    <xf numFmtId="4" fontId="0" fillId="0" borderId="1" xfId="0" applyNumberFormat="1" applyBorder="1" applyAlignment="1" applyProtection="1">
      <alignment horizontal="right" vertical="top"/>
      <protection hidden="1"/>
    </xf>
    <xf numFmtId="4" fontId="0" fillId="0" borderId="1" xfId="0" applyNumberFormat="1" applyBorder="1" applyAlignment="1" applyProtection="1">
      <alignment vertical="top"/>
      <protection hidden="1"/>
    </xf>
    <xf numFmtId="2" fontId="0" fillId="0" borderId="1" xfId="0" applyNumberFormat="1" applyBorder="1" applyAlignment="1" applyProtection="1">
      <alignment vertical="top"/>
      <protection hidden="1"/>
    </xf>
    <xf numFmtId="3" fontId="0" fillId="0" borderId="1" xfId="0" applyNumberFormat="1" applyBorder="1" applyAlignment="1" applyProtection="1">
      <alignment vertical="top"/>
      <protection hidden="1"/>
    </xf>
    <xf numFmtId="0" fontId="1" fillId="0" borderId="0" xfId="0" applyFont="1" applyAlignment="1" applyProtection="1">
      <alignment vertical="top" wrapText="1"/>
      <protection hidden="1"/>
    </xf>
    <xf numFmtId="9" fontId="0" fillId="0" borderId="1" xfId="0" applyNumberFormat="1" applyBorder="1" applyAlignment="1" applyProtection="1">
      <alignment vertical="top"/>
      <protection hidden="1"/>
    </xf>
    <xf numFmtId="0" fontId="16" fillId="0" borderId="0" xfId="0" applyFont="1" applyAlignment="1" applyProtection="1">
      <alignment vertical="top" wrapText="1"/>
      <protection hidden="1"/>
    </xf>
    <xf numFmtId="0" fontId="16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31" xfId="0" applyFont="1" applyBorder="1" applyAlignment="1" applyProtection="1">
      <alignment horizontal="center" vertical="top"/>
      <protection locked="0"/>
    </xf>
    <xf numFmtId="0" fontId="1" fillId="0" borderId="31" xfId="0" applyFont="1" applyBorder="1" applyAlignment="1" applyProtection="1">
      <alignment vertical="top"/>
      <protection hidden="1"/>
    </xf>
    <xf numFmtId="164" fontId="11" fillId="0" borderId="27" xfId="0" applyNumberFormat="1" applyFont="1" applyBorder="1" applyAlignment="1" applyProtection="1">
      <alignment horizontal="center" vertical="top"/>
      <protection hidden="1"/>
    </xf>
    <xf numFmtId="164" fontId="11" fillId="0" borderId="28" xfId="0" applyNumberFormat="1" applyFont="1" applyBorder="1" applyAlignment="1" applyProtection="1">
      <alignment horizontal="center" vertical="top"/>
      <protection hidden="1"/>
    </xf>
    <xf numFmtId="164" fontId="11" fillId="0" borderId="29" xfId="0" applyNumberFormat="1" applyFont="1" applyBorder="1" applyAlignment="1" applyProtection="1">
      <alignment horizontal="center" vertical="top"/>
      <protection hidden="1"/>
    </xf>
    <xf numFmtId="164" fontId="11" fillId="0" borderId="13" xfId="0" applyNumberFormat="1" applyFont="1" applyBorder="1" applyAlignment="1" applyProtection="1">
      <alignment horizontal="center" vertical="top"/>
      <protection hidden="1"/>
    </xf>
    <xf numFmtId="164" fontId="11" fillId="0" borderId="14" xfId="0" applyNumberFormat="1" applyFont="1" applyBorder="1" applyAlignment="1" applyProtection="1">
      <alignment horizontal="center" vertical="top"/>
      <protection hidden="1"/>
    </xf>
    <xf numFmtId="164" fontId="11" fillId="0" borderId="15" xfId="0" applyNumberFormat="1" applyFont="1" applyBorder="1" applyAlignment="1" applyProtection="1">
      <alignment horizontal="center" vertical="top"/>
      <protection hidden="1"/>
    </xf>
    <xf numFmtId="164" fontId="11" fillId="0" borderId="30" xfId="0" applyNumberFormat="1" applyFont="1" applyBorder="1" applyAlignment="1">
      <alignment horizontal="center" vertical="top"/>
    </xf>
    <xf numFmtId="164" fontId="11" fillId="0" borderId="31" xfId="0" applyNumberFormat="1" applyFont="1" applyBorder="1" applyAlignment="1">
      <alignment horizontal="center" vertical="top"/>
    </xf>
    <xf numFmtId="164" fontId="11" fillId="0" borderId="32" xfId="0" applyNumberFormat="1" applyFont="1" applyBorder="1" applyAlignment="1">
      <alignment horizontal="center" vertical="top"/>
    </xf>
    <xf numFmtId="0" fontId="0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11" fillId="0" borderId="13" xfId="0" applyNumberFormat="1" applyFont="1" applyBorder="1" applyAlignment="1">
      <alignment horizontal="center" vertical="top"/>
    </xf>
    <xf numFmtId="164" fontId="11" fillId="0" borderId="14" xfId="0" applyNumberFormat="1" applyFont="1" applyBorder="1" applyAlignment="1">
      <alignment horizontal="center" vertical="top"/>
    </xf>
    <xf numFmtId="164" fontId="11" fillId="0" borderId="15" xfId="0" applyNumberFormat="1" applyFont="1" applyBorder="1" applyAlignment="1">
      <alignment horizontal="center" vertical="top"/>
    </xf>
    <xf numFmtId="164" fontId="11" fillId="0" borderId="27" xfId="0" applyNumberFormat="1" applyFont="1" applyBorder="1" applyAlignment="1">
      <alignment horizontal="center" vertical="top"/>
    </xf>
    <xf numFmtId="164" fontId="11" fillId="0" borderId="28" xfId="0" applyNumberFormat="1" applyFont="1" applyBorder="1" applyAlignment="1">
      <alignment horizontal="center" vertical="top"/>
    </xf>
    <xf numFmtId="164" fontId="11" fillId="0" borderId="29" xfId="0" applyNumberFormat="1" applyFont="1" applyBorder="1" applyAlignment="1">
      <alignment horizontal="center" vertical="top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295275</xdr:colOff>
      <xdr:row>0</xdr:row>
      <xdr:rowOff>200025</xdr:rowOff>
    </xdr:from>
    <xdr:to>
      <xdr:col>7</xdr:col>
      <xdr:colOff>704850</xdr:colOff>
      <xdr:row>3</xdr:row>
      <xdr:rowOff>93345</xdr:rowOff>
    </xdr:to>
    <xdr:pic>
      <xdr:nvPicPr>
        <xdr:cNvPr id="2" name="1 Imagen" descr="C:\Users\u100825\Downloads\C_EMP_AUT_ENE_COL(3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86825" y="200025"/>
          <a:ext cx="2057400" cy="855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942975</xdr:colOff>
      <xdr:row>0</xdr:row>
      <xdr:rowOff>47625</xdr:rowOff>
    </xdr:from>
    <xdr:to>
      <xdr:col>8</xdr:col>
      <xdr:colOff>523875</xdr:colOff>
      <xdr:row>4</xdr:row>
      <xdr:rowOff>180975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47625"/>
          <a:ext cx="1562100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219075</xdr:rowOff>
    </xdr:from>
    <xdr:to>
      <xdr:col>3</xdr:col>
      <xdr:colOff>2819400</xdr:colOff>
      <xdr:row>3</xdr:row>
      <xdr:rowOff>112395</xdr:rowOff>
    </xdr:to>
    <xdr:pic>
      <xdr:nvPicPr>
        <xdr:cNvPr id="2" name="1 Imagen" descr="C:\Users\u100825\Downloads\C_EMP_AUT_ENE_COL(3)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2650" y="219075"/>
          <a:ext cx="20574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0</xdr:row>
      <xdr:rowOff>0</xdr:rowOff>
    </xdr:from>
    <xdr:to>
      <xdr:col>5</xdr:col>
      <xdr:colOff>1571625</xdr:colOff>
      <xdr:row>4</xdr:row>
      <xdr:rowOff>142875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0"/>
          <a:ext cx="1562100" cy="1419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219075</xdr:rowOff>
    </xdr:from>
    <xdr:to>
      <xdr:col>4</xdr:col>
      <xdr:colOff>257175</xdr:colOff>
      <xdr:row>3</xdr:row>
      <xdr:rowOff>121104</xdr:rowOff>
    </xdr:to>
    <xdr:pic>
      <xdr:nvPicPr>
        <xdr:cNvPr id="2" name="1 Imagen" descr="C:\Users\u100825\Downloads\C_EMP_AUT_ENE_COL(3)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2650" y="219075"/>
          <a:ext cx="20574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0</xdr:row>
      <xdr:rowOff>0</xdr:rowOff>
    </xdr:from>
    <xdr:to>
      <xdr:col>5</xdr:col>
      <xdr:colOff>1571625</xdr:colOff>
      <xdr:row>4</xdr:row>
      <xdr:rowOff>151584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0"/>
          <a:ext cx="1562100" cy="1419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219075</xdr:rowOff>
    </xdr:from>
    <xdr:to>
      <xdr:col>4</xdr:col>
      <xdr:colOff>257175</xdr:colOff>
      <xdr:row>3</xdr:row>
      <xdr:rowOff>112395</xdr:rowOff>
    </xdr:to>
    <xdr:pic>
      <xdr:nvPicPr>
        <xdr:cNvPr id="2" name="1 Imagen" descr="C:\Users\u100825\Downloads\C_EMP_AUT_ENE_COL(3)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27920" y="219075"/>
          <a:ext cx="2131695" cy="845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0</xdr:row>
      <xdr:rowOff>0</xdr:rowOff>
    </xdr:from>
    <xdr:to>
      <xdr:col>5</xdr:col>
      <xdr:colOff>1571625</xdr:colOff>
      <xdr:row>4</xdr:row>
      <xdr:rowOff>142875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665" y="0"/>
          <a:ext cx="1562100" cy="1392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219075</xdr:rowOff>
    </xdr:from>
    <xdr:to>
      <xdr:col>4</xdr:col>
      <xdr:colOff>257175</xdr:colOff>
      <xdr:row>3</xdr:row>
      <xdr:rowOff>112395</xdr:rowOff>
    </xdr:to>
    <xdr:pic>
      <xdr:nvPicPr>
        <xdr:cNvPr id="2" name="1 Imagen" descr="C:\Users\u100825\Downloads\C_EMP_AUT_ENE_COL(3)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6860" y="219075"/>
          <a:ext cx="2131695" cy="845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0</xdr:row>
      <xdr:rowOff>0</xdr:rowOff>
    </xdr:from>
    <xdr:to>
      <xdr:col>5</xdr:col>
      <xdr:colOff>1571625</xdr:colOff>
      <xdr:row>4</xdr:row>
      <xdr:rowOff>142875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5405" y="0"/>
          <a:ext cx="1562100" cy="1392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activeCell="I16" sqref="I16"/>
    </sheetView>
  </sheetViews>
  <sheetFormatPr baseColWidth="10" defaultColWidth="11.42578125" defaultRowHeight="15" x14ac:dyDescent="0.25"/>
  <cols>
    <col min="1" max="1" width="51.5703125" style="2" customWidth="1"/>
    <col min="2" max="3" width="24.7109375" style="2" customWidth="1"/>
    <col min="4" max="5" width="28.7109375" style="2" customWidth="1"/>
    <col min="6" max="7" width="24.7109375" style="2" customWidth="1"/>
    <col min="8" max="8" width="29.7109375" style="2" customWidth="1"/>
    <col min="9" max="9" width="28.7109375" style="2" customWidth="1"/>
    <col min="10" max="10" width="28.140625" style="2" bestFit="1" customWidth="1"/>
    <col min="11" max="11" width="26.85546875" style="2" bestFit="1" customWidth="1"/>
    <col min="12" max="13" width="11.42578125" style="2"/>
    <col min="14" max="14" width="42" style="2" customWidth="1"/>
    <col min="15" max="15" width="18.140625" style="2" customWidth="1"/>
    <col min="16" max="16" width="11.42578125" style="2"/>
    <col min="17" max="17" width="39" style="2" bestFit="1" customWidth="1"/>
    <col min="18" max="18" width="3" style="2" bestFit="1" customWidth="1"/>
    <col min="19" max="16384" width="11.42578125" style="2"/>
  </cols>
  <sheetData>
    <row r="1" spans="1:14" ht="26.25" x14ac:dyDescent="0.25">
      <c r="A1" s="9" t="s">
        <v>3</v>
      </c>
      <c r="C1" s="9" t="s">
        <v>74</v>
      </c>
      <c r="D1" s="9"/>
      <c r="F1" s="9"/>
      <c r="G1" s="9"/>
      <c r="H1" s="9"/>
      <c r="I1" s="101" t="s">
        <v>170</v>
      </c>
    </row>
    <row r="2" spans="1:14" ht="26.25" x14ac:dyDescent="0.25">
      <c r="B2" s="9"/>
      <c r="D2" s="9"/>
      <c r="F2" s="9"/>
      <c r="G2" s="9"/>
      <c r="H2" s="9"/>
    </row>
    <row r="3" spans="1:14" ht="23.25" x14ac:dyDescent="0.25">
      <c r="A3" s="80" t="s">
        <v>144</v>
      </c>
    </row>
    <row r="4" spans="1:14" ht="24" thickBot="1" x14ac:dyDescent="0.3">
      <c r="A4" s="80"/>
    </row>
    <row r="5" spans="1:14" ht="20.100000000000001" customHeight="1" thickBot="1" x14ac:dyDescent="0.3">
      <c r="A5" s="4"/>
      <c r="B5" s="211" t="s">
        <v>8</v>
      </c>
      <c r="C5" s="212"/>
      <c r="D5" s="212"/>
      <c r="E5" s="213"/>
      <c r="F5" s="211" t="s">
        <v>9</v>
      </c>
      <c r="G5" s="212"/>
      <c r="H5" s="212"/>
      <c r="I5" s="213"/>
      <c r="J5" s="211" t="s">
        <v>154</v>
      </c>
      <c r="K5" s="213"/>
    </row>
    <row r="6" spans="1:14" ht="15" customHeight="1" x14ac:dyDescent="0.25">
      <c r="A6" s="93" t="s">
        <v>153</v>
      </c>
      <c r="B6" s="94" t="s">
        <v>7</v>
      </c>
      <c r="C6" s="88" t="s">
        <v>10</v>
      </c>
      <c r="D6" s="104" t="s">
        <v>146</v>
      </c>
      <c r="E6" s="95" t="s">
        <v>147</v>
      </c>
      <c r="F6" s="94" t="s">
        <v>7</v>
      </c>
      <c r="G6" s="88" t="s">
        <v>10</v>
      </c>
      <c r="H6" s="104" t="s">
        <v>146</v>
      </c>
      <c r="I6" s="105" t="s">
        <v>147</v>
      </c>
      <c r="J6" s="104" t="s">
        <v>146</v>
      </c>
      <c r="K6" s="95" t="s">
        <v>147</v>
      </c>
    </row>
    <row r="7" spans="1:14" ht="15" customHeight="1" x14ac:dyDescent="0.25">
      <c r="A7" s="92" t="s">
        <v>148</v>
      </c>
      <c r="B7" s="96">
        <f>'Programa 1'!C41</f>
        <v>0</v>
      </c>
      <c r="C7" s="97">
        <f>'Programa 1'!D41</f>
        <v>0</v>
      </c>
      <c r="D7" s="96">
        <f>'Programa 1'!C49</f>
        <v>0</v>
      </c>
      <c r="E7" s="97">
        <f>'Programa 1'!D49</f>
        <v>0</v>
      </c>
      <c r="F7" s="96">
        <f>'Programa 1'!F41</f>
        <v>0</v>
      </c>
      <c r="G7" s="97">
        <f>'Programa 1'!G41</f>
        <v>0</v>
      </c>
      <c r="H7" s="96">
        <f>'Programa 1'!F49</f>
        <v>0</v>
      </c>
      <c r="I7" s="106">
        <f>'Programa 1'!G49</f>
        <v>0</v>
      </c>
      <c r="J7" s="96">
        <f>IF(D7&lt;H7,"Limitat subvenció concedida",D7-H7)</f>
        <v>0</v>
      </c>
      <c r="K7" s="97">
        <f t="shared" ref="K7:K8" si="0">IF(E7&lt;I7,"Limitat subvenció concedida",E7-I7)</f>
        <v>0</v>
      </c>
    </row>
    <row r="8" spans="1:14" ht="15" customHeight="1" x14ac:dyDescent="0.25">
      <c r="A8" s="92" t="s">
        <v>149</v>
      </c>
      <c r="B8" s="96">
        <f>'Programa 2'!C37</f>
        <v>0</v>
      </c>
      <c r="C8" s="97">
        <f>'Programa 2'!D37</f>
        <v>0</v>
      </c>
      <c r="D8" s="96">
        <f>'Programa 2'!C45</f>
        <v>0</v>
      </c>
      <c r="E8" s="97">
        <f>'Programa 2'!D45</f>
        <v>0</v>
      </c>
      <c r="F8" s="96">
        <f>'Programa 2'!F37</f>
        <v>0</v>
      </c>
      <c r="G8" s="97">
        <f>'Programa 2'!G37</f>
        <v>0</v>
      </c>
      <c r="H8" s="96">
        <f>'Programa 2'!F45</f>
        <v>0</v>
      </c>
      <c r="I8" s="106">
        <f>'Programa 2'!G45</f>
        <v>0</v>
      </c>
      <c r="J8" s="96">
        <f t="shared" ref="J8:J9" si="1">IF(D8&lt;H8,"Limitat subvenció concedida",D8-H8)</f>
        <v>0</v>
      </c>
      <c r="K8" s="97">
        <f t="shared" si="0"/>
        <v>0</v>
      </c>
    </row>
    <row r="9" spans="1:14" ht="15" customHeight="1" x14ac:dyDescent="0.25">
      <c r="A9" s="92" t="s">
        <v>150</v>
      </c>
      <c r="B9" s="96">
        <f>'Programa 3'!C33</f>
        <v>0</v>
      </c>
      <c r="C9" s="97">
        <f>'Programa 3'!D33</f>
        <v>0</v>
      </c>
      <c r="D9" s="96">
        <f>'Programa 3'!C39</f>
        <v>0</v>
      </c>
      <c r="E9" s="97">
        <f>'Programa 3'!D39</f>
        <v>0</v>
      </c>
      <c r="F9" s="96">
        <f>'Programa 3'!F33</f>
        <v>0</v>
      </c>
      <c r="G9" s="97">
        <f>'Programa 3'!G33</f>
        <v>0</v>
      </c>
      <c r="H9" s="96">
        <f>'Programa 3'!F39</f>
        <v>0</v>
      </c>
      <c r="I9" s="106">
        <f>'Programa 3'!G39</f>
        <v>0</v>
      </c>
      <c r="J9" s="96">
        <f t="shared" si="1"/>
        <v>0</v>
      </c>
      <c r="K9" s="97">
        <f>IF(E9&lt;I9,"Limitat subvenció concedida",E9-I9)</f>
        <v>0</v>
      </c>
    </row>
    <row r="10" spans="1:14" ht="15" customHeight="1" x14ac:dyDescent="0.25">
      <c r="A10" s="92" t="s">
        <v>151</v>
      </c>
      <c r="B10" s="96">
        <f>'Programa 4'!C28</f>
        <v>0</v>
      </c>
      <c r="C10" s="97">
        <f>'Programa 4'!D28</f>
        <v>0</v>
      </c>
      <c r="D10" s="96">
        <f>'Programa 4'!C33</f>
        <v>0</v>
      </c>
      <c r="E10" s="97">
        <f>'Programa 4'!D33</f>
        <v>0</v>
      </c>
      <c r="F10" s="96">
        <f>'Programa 4'!F28</f>
        <v>0</v>
      </c>
      <c r="G10" s="97">
        <f>'Programa 4'!G28</f>
        <v>0</v>
      </c>
      <c r="H10" s="96">
        <f>'Programa 4'!F33</f>
        <v>0</v>
      </c>
      <c r="I10" s="106">
        <f>'Programa 4'!G33</f>
        <v>0</v>
      </c>
      <c r="J10" s="96">
        <f>IF(D10&lt;H10,"Limitat subvenció concedida",D10-H10)</f>
        <v>0</v>
      </c>
      <c r="K10" s="97">
        <f>IF(E10&lt;I10,"Limitat subvenció concedida",E10-I10)</f>
        <v>0</v>
      </c>
    </row>
    <row r="11" spans="1:14" ht="15" customHeight="1" thickBot="1" x14ac:dyDescent="0.3">
      <c r="A11" s="93" t="s">
        <v>152</v>
      </c>
      <c r="B11" s="98">
        <f>SUM(B7:B10)</f>
        <v>0</v>
      </c>
      <c r="C11" s="99">
        <f>SUM(C7:C10)</f>
        <v>0</v>
      </c>
      <c r="D11" s="98">
        <f>IF(SUM(D7:D10)&gt;300000,300000,SUM(D7:D10))</f>
        <v>0</v>
      </c>
      <c r="E11" s="99">
        <f>IF(SUM(E7:E10)&gt;300000,300000,SUM(E7:E10))</f>
        <v>0</v>
      </c>
      <c r="F11" s="98">
        <f t="shared" ref="F11:G11" si="2">SUM(F7:F10)</f>
        <v>0</v>
      </c>
      <c r="G11" s="99">
        <f t="shared" si="2"/>
        <v>0</v>
      </c>
      <c r="H11" s="98">
        <f>IF(SUM(H7:H10)&gt;300000,300000,SUM(H7:H10))</f>
        <v>0</v>
      </c>
      <c r="I11" s="107">
        <f>IF(SUM(I7:I10)&gt;300000,300000,SUM(I7:I10))</f>
        <v>0</v>
      </c>
      <c r="J11" s="108">
        <f>SUM(J7:J10)</f>
        <v>0</v>
      </c>
      <c r="K11" s="109">
        <f>SUM(K7:K10)</f>
        <v>0</v>
      </c>
    </row>
    <row r="12" spans="1:14" x14ac:dyDescent="0.25">
      <c r="A12" s="1"/>
      <c r="G12" s="1"/>
      <c r="H12" s="7"/>
      <c r="I12" s="7"/>
    </row>
    <row r="14" spans="1:14" ht="23.25" x14ac:dyDescent="0.25">
      <c r="A14" s="80" t="s">
        <v>75</v>
      </c>
    </row>
    <row r="16" spans="1:14" ht="26.25" x14ac:dyDescent="0.3">
      <c r="A16" s="26" t="s">
        <v>60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x14ac:dyDescent="0.2">
      <c r="A17" s="103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14" ht="75" customHeight="1" x14ac:dyDescent="0.25">
      <c r="A18" s="214" t="s">
        <v>63</v>
      </c>
      <c r="B18" s="214"/>
      <c r="C18" s="214"/>
      <c r="D18" s="214"/>
      <c r="E18" s="214"/>
      <c r="F18" s="100"/>
      <c r="G18" s="100"/>
      <c r="H18" s="100"/>
      <c r="I18" s="100"/>
      <c r="J18" s="100"/>
      <c r="K18" s="100"/>
      <c r="L18" s="100"/>
      <c r="M18" s="100"/>
      <c r="N18" s="100"/>
    </row>
    <row r="19" spans="1:14" ht="96.75" customHeight="1" x14ac:dyDescent="0.25">
      <c r="A19" s="215" t="s">
        <v>73</v>
      </c>
      <c r="B19" s="215"/>
      <c r="C19" s="215"/>
      <c r="D19" s="215"/>
      <c r="E19" s="215"/>
      <c r="F19" s="102"/>
      <c r="G19" s="102"/>
      <c r="H19" s="102"/>
      <c r="I19" s="102"/>
      <c r="J19" s="102"/>
      <c r="K19" s="102"/>
      <c r="L19" s="102"/>
      <c r="M19" s="102"/>
      <c r="N19" s="102"/>
    </row>
    <row r="20" spans="1:14" x14ac:dyDescent="0.2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4" ht="18.75" x14ac:dyDescent="0.3">
      <c r="A21" s="26" t="s">
        <v>57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x14ac:dyDescent="0.25">
      <c r="A22" t="s">
        <v>64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x14ac:dyDescent="0.25">
      <c r="A23" t="s">
        <v>65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x14ac:dyDescent="0.25">
      <c r="A24" t="s">
        <v>66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x14ac:dyDescent="0.25">
      <c r="A25" t="s">
        <v>67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x14ac:dyDescent="0.25">
      <c r="A26" t="s">
        <v>68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x14ac:dyDescent="0.25">
      <c r="A27" t="s">
        <v>69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x14ac:dyDescent="0.25">
      <c r="A28" t="s">
        <v>117</v>
      </c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ht="18.75" x14ac:dyDescent="0.3">
      <c r="A30" s="26" t="s">
        <v>70</v>
      </c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x14ac:dyDescent="0.25">
      <c r="A31" s="2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x14ac:dyDescent="0.25">
      <c r="A32" s="2" t="s">
        <v>71</v>
      </c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x14ac:dyDescent="0.25">
      <c r="A33" s="2" t="s">
        <v>55</v>
      </c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x14ac:dyDescent="0.25">
      <c r="A34" s="2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x14ac:dyDescent="0.25">
      <c r="A35" s="2" t="s">
        <v>58</v>
      </c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x14ac:dyDescent="0.25">
      <c r="A36" s="2" t="s">
        <v>59</v>
      </c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x14ac:dyDescent="0.25">
      <c r="A37" s="2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</row>
  </sheetData>
  <sheetProtection algorithmName="SHA-512" hashValue="IhqbweR+p2RRaALj8VgEelFK3Hl7SifL3HYJ50mMFUPRi1LhnMTyINgvYTcgbvx8XJJc5NfJHtJw5CrNLhwhVA==" saltValue="eE5uuK+tJW1RMoB0bI2dVA==" spinCount="100000" sheet="1" objects="1" scenarios="1" selectLockedCells="1"/>
  <mergeCells count="5">
    <mergeCell ref="F5:I5"/>
    <mergeCell ref="B5:E5"/>
    <mergeCell ref="A18:E18"/>
    <mergeCell ref="A19:E19"/>
    <mergeCell ref="J5:K5"/>
  </mergeCells>
  <pageMargins left="0.7" right="0.7" top="0.75" bottom="0.75" header="0.3" footer="0.3"/>
  <pageSetup paperSize="9" scale="67" orientation="portrait" r:id="rId1"/>
  <colBreaks count="1" manualBreakCount="1">
    <brk id="9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J71"/>
  <sheetViews>
    <sheetView zoomScaleNormal="100" workbookViewId="0">
      <selection activeCell="B16" sqref="B16"/>
    </sheetView>
  </sheetViews>
  <sheetFormatPr baseColWidth="10" defaultColWidth="11.42578125" defaultRowHeight="15" x14ac:dyDescent="0.25"/>
  <cols>
    <col min="1" max="1" width="77" style="112" bestFit="1" customWidth="1"/>
    <col min="2" max="2" width="9.42578125" style="112" bestFit="1" customWidth="1"/>
    <col min="3" max="4" width="42.7109375" style="112" customWidth="1"/>
    <col min="5" max="5" width="9.42578125" style="112" bestFit="1" customWidth="1"/>
    <col min="6" max="7" width="42.7109375" style="112" customWidth="1"/>
    <col min="8" max="8" width="41.7109375" style="112" customWidth="1"/>
    <col min="9" max="11" width="11.42578125" style="112"/>
    <col min="12" max="12" width="42" style="112" customWidth="1"/>
    <col min="13" max="13" width="18.140625" style="112" customWidth="1"/>
    <col min="14" max="14" width="11.42578125" style="112"/>
    <col min="15" max="15" width="39" style="112" bestFit="1" customWidth="1"/>
    <col min="16" max="16" width="3" style="112" bestFit="1" customWidth="1"/>
    <col min="17" max="16384" width="11.42578125" style="112"/>
  </cols>
  <sheetData>
    <row r="1" spans="1:7" ht="26.25" x14ac:dyDescent="0.25">
      <c r="A1" s="111" t="s">
        <v>3</v>
      </c>
      <c r="B1" s="111"/>
      <c r="C1" s="111" t="s">
        <v>74</v>
      </c>
      <c r="E1" s="111"/>
      <c r="F1" s="111"/>
    </row>
    <row r="2" spans="1:7" ht="26.25" x14ac:dyDescent="0.25">
      <c r="B2" s="111"/>
      <c r="E2" s="111"/>
      <c r="F2" s="111"/>
    </row>
    <row r="3" spans="1:7" ht="23.25" x14ac:dyDescent="0.25">
      <c r="A3" s="113" t="s">
        <v>4</v>
      </c>
    </row>
    <row r="4" spans="1:7" ht="23.25" x14ac:dyDescent="0.25">
      <c r="A4" s="113"/>
    </row>
    <row r="5" spans="1:7" x14ac:dyDescent="0.25">
      <c r="A5" s="114" t="s">
        <v>52</v>
      </c>
      <c r="B5" s="115"/>
      <c r="C5" s="116" t="s">
        <v>12</v>
      </c>
    </row>
    <row r="6" spans="1:7" x14ac:dyDescent="0.25">
      <c r="A6" s="114" t="s">
        <v>53</v>
      </c>
      <c r="B6" s="115"/>
      <c r="C6" s="117">
        <f>VLOOKUP(C5,'Programa 1'!$A$63:$B66,2,FALSE)</f>
        <v>0.6</v>
      </c>
      <c r="E6" s="118"/>
      <c r="F6" s="118"/>
    </row>
    <row r="7" spans="1:7" x14ac:dyDescent="0.25">
      <c r="A7" s="114" t="s">
        <v>96</v>
      </c>
      <c r="B7" s="119" t="s">
        <v>93</v>
      </c>
      <c r="C7" s="117" t="str">
        <f>IF(B7="SI","No pot ser beneficiari per aquest Programa 1","")</f>
        <v/>
      </c>
      <c r="E7" s="118"/>
      <c r="F7" s="118"/>
    </row>
    <row r="8" spans="1:7" ht="15.75" thickBot="1" x14ac:dyDescent="0.3">
      <c r="C8" s="120"/>
      <c r="E8" s="118"/>
      <c r="F8" s="118"/>
    </row>
    <row r="9" spans="1:7" ht="19.5" thickBot="1" x14ac:dyDescent="0.3">
      <c r="A9" s="121"/>
      <c r="B9" s="208" t="s">
        <v>8</v>
      </c>
      <c r="C9" s="209"/>
      <c r="D9" s="210"/>
      <c r="E9" s="208" t="s">
        <v>9</v>
      </c>
      <c r="F9" s="209"/>
      <c r="G9" s="210"/>
    </row>
    <row r="10" spans="1:7" x14ac:dyDescent="0.25">
      <c r="A10" s="122" t="s">
        <v>30</v>
      </c>
      <c r="B10" s="123"/>
      <c r="C10" s="189" t="str">
        <f>IF($C$12&lt;=10,$A$59,IF($C$12&lt;=100,$A$58,$A$57))</f>
        <v>Instal·lació fotovoltaica Ps ≤ 10 kWp</v>
      </c>
      <c r="D10" s="124"/>
      <c r="E10" s="125"/>
      <c r="F10" s="204" t="str">
        <f>IF($F$12&lt;=10,$A$59,IF($F$12&lt;=100,$A$58,$A$57))</f>
        <v>Instal·lació fotovoltaica Ps ≤ 10 kWp</v>
      </c>
      <c r="G10" s="126"/>
    </row>
    <row r="11" spans="1:7" x14ac:dyDescent="0.25">
      <c r="A11" s="122" t="s">
        <v>123</v>
      </c>
      <c r="B11" s="127" t="s">
        <v>124</v>
      </c>
      <c r="C11" s="128">
        <v>10</v>
      </c>
      <c r="D11" s="124"/>
      <c r="E11" s="129" t="s">
        <v>124</v>
      </c>
      <c r="F11" s="128">
        <v>10</v>
      </c>
      <c r="G11" s="124"/>
    </row>
    <row r="12" spans="1:7" x14ac:dyDescent="0.25">
      <c r="A12" s="122" t="s">
        <v>29</v>
      </c>
      <c r="B12" s="127" t="s">
        <v>54</v>
      </c>
      <c r="C12" s="128">
        <v>10</v>
      </c>
      <c r="D12" s="130"/>
      <c r="E12" s="127" t="s">
        <v>54</v>
      </c>
      <c r="F12" s="128">
        <v>10</v>
      </c>
      <c r="G12" s="130"/>
    </row>
    <row r="13" spans="1:7" x14ac:dyDescent="0.25">
      <c r="A13" s="122"/>
      <c r="B13" s="123"/>
      <c r="C13" s="131" t="s">
        <v>168</v>
      </c>
      <c r="D13" s="131" t="s">
        <v>169</v>
      </c>
      <c r="E13" s="132"/>
      <c r="F13" s="131" t="s">
        <v>168</v>
      </c>
      <c r="G13" s="133" t="s">
        <v>169</v>
      </c>
    </row>
    <row r="14" spans="1:7" x14ac:dyDescent="0.25">
      <c r="A14" s="122" t="s">
        <v>156</v>
      </c>
      <c r="B14" s="132"/>
      <c r="C14" s="134">
        <f>VLOOKUP(C10,$A$57:$J$59,3,FALSE)</f>
        <v>0</v>
      </c>
      <c r="D14" s="134">
        <f>VLOOKUP(C10,$A$57:$J$59,4,FALSE)</f>
        <v>0</v>
      </c>
      <c r="E14" s="135"/>
      <c r="F14" s="134">
        <f>VLOOKUP(F10,$A$57:$J$59,6,FALSE)</f>
        <v>0</v>
      </c>
      <c r="G14" s="136">
        <f>VLOOKUP(F10,$A$57:$J$59,7,FALSE)</f>
        <v>0</v>
      </c>
    </row>
    <row r="15" spans="1:7" x14ac:dyDescent="0.25">
      <c r="A15" s="122" t="s">
        <v>37</v>
      </c>
      <c r="B15" s="137" t="s">
        <v>93</v>
      </c>
      <c r="C15" s="134">
        <f>IF($B$15="SI",VLOOKUP(C10,$A$57:$J$59,8,FALSE),0)</f>
        <v>0</v>
      </c>
      <c r="D15" s="134">
        <f>IF($B$15="SI",VLOOKUP(C10,$A$57:$J$59,8,FALSE),0)</f>
        <v>0</v>
      </c>
      <c r="E15" s="135"/>
      <c r="F15" s="134">
        <f>IF($B$15="SI",VLOOKUP(F10,$A$57:$J$59,8,FALSE),0)</f>
        <v>0</v>
      </c>
      <c r="G15" s="136">
        <f>IF($B$15="SI",VLOOKUP(F10,$A$57:$J$59,8,FALSE),0)</f>
        <v>0</v>
      </c>
    </row>
    <row r="16" spans="1:7" x14ac:dyDescent="0.25">
      <c r="A16" s="138" t="s">
        <v>38</v>
      </c>
      <c r="B16" s="137" t="s">
        <v>93</v>
      </c>
      <c r="C16" s="134">
        <f>IF($B$16="SI",VLOOKUP(C10,$A$57:$J$59,9,FALSE),0)</f>
        <v>0</v>
      </c>
      <c r="D16" s="134">
        <f>IF($B$16="SI",VLOOKUP(C10,$A$57:$J$59,9,FALSE),0)</f>
        <v>0</v>
      </c>
      <c r="E16" s="135"/>
      <c r="F16" s="134">
        <f>IF($B$16="SI",VLOOKUP(F10,$A$57:$J$59,9,FALSE),0)</f>
        <v>0</v>
      </c>
      <c r="G16" s="136">
        <f>IF($B$16="SI",VLOOKUP(F10,$A$57:$J$59,9,FALSE),0)</f>
        <v>0</v>
      </c>
    </row>
    <row r="17" spans="1:7" x14ac:dyDescent="0.25">
      <c r="A17" s="122" t="s">
        <v>39</v>
      </c>
      <c r="B17" s="137" t="s">
        <v>93</v>
      </c>
      <c r="C17" s="134">
        <f>IF($B$17="SI",VLOOKUP(C10,$A$57:$J$59,10,FALSE),0)</f>
        <v>0</v>
      </c>
      <c r="D17" s="134">
        <f>IF($B$17="SI",VLOOKUP(C10,$A$57:$J$59,10,FALSE),0)</f>
        <v>0</v>
      </c>
      <c r="E17" s="135"/>
      <c r="F17" s="134">
        <f>IF($B$17="SI",VLOOKUP(F10,$A$57:$J$59,10,FALSE),0)</f>
        <v>0</v>
      </c>
      <c r="G17" s="136">
        <f>IF($B$17="SI",VLOOKUP(F10,$A$57:$J$59,10,FALSE),0)</f>
        <v>0</v>
      </c>
    </row>
    <row r="18" spans="1:7" ht="45" customHeight="1" x14ac:dyDescent="0.25">
      <c r="A18" s="139" t="str">
        <f>IF(OR(B15="SI",B16="SI"), "El percentatge de potència instal·lada sobre marquesina, o sobre la superfície de la qual s'ha eliminat amiant, ha de ser, almenys, el 50 % de la potència de la instal·lació de generació realment instal·lada (Ps).","")</f>
        <v/>
      </c>
      <c r="B18" s="140" t="s">
        <v>40</v>
      </c>
      <c r="C18" s="141">
        <f>SUM(C14:C17)</f>
        <v>0</v>
      </c>
      <c r="D18" s="141">
        <f>SUM(D14:D17)</f>
        <v>0</v>
      </c>
      <c r="E18" s="140" t="s">
        <v>40</v>
      </c>
      <c r="F18" s="141">
        <f>SUM(F14:F17)</f>
        <v>0</v>
      </c>
      <c r="G18" s="142">
        <f>SUM(G14:G17)</f>
        <v>0</v>
      </c>
    </row>
    <row r="19" spans="1:7" x14ac:dyDescent="0.25">
      <c r="A19" s="143" t="s">
        <v>137</v>
      </c>
      <c r="B19" s="144"/>
      <c r="C19" s="145">
        <f>IF(C12&gt;500,C18*500,C18*C12)</f>
        <v>0</v>
      </c>
      <c r="D19" s="145">
        <f>IF(C12&gt;500,D18*500,D18*C12)</f>
        <v>0</v>
      </c>
      <c r="E19" s="135"/>
      <c r="F19" s="145">
        <f>IF(F12&gt;500,F18*500,F18*F12)</f>
        <v>0</v>
      </c>
      <c r="G19" s="146">
        <f>IF(F12&gt;500,G18*500,G18*F12)</f>
        <v>0</v>
      </c>
    </row>
    <row r="20" spans="1:7" ht="15.75" thickBot="1" x14ac:dyDescent="0.3">
      <c r="A20" s="122"/>
      <c r="B20" s="123"/>
      <c r="C20" s="134"/>
      <c r="D20" s="136"/>
      <c r="E20" s="147"/>
      <c r="F20" s="148"/>
      <c r="G20" s="149"/>
    </row>
    <row r="21" spans="1:7" ht="19.5" thickBot="1" x14ac:dyDescent="0.3">
      <c r="A21" s="150" t="s">
        <v>72</v>
      </c>
      <c r="B21" s="205" t="s">
        <v>8</v>
      </c>
      <c r="C21" s="206"/>
      <c r="D21" s="207"/>
      <c r="E21" s="205" t="s">
        <v>9</v>
      </c>
      <c r="F21" s="206"/>
      <c r="G21" s="207"/>
    </row>
    <row r="22" spans="1:7" x14ac:dyDescent="0.25">
      <c r="A22" s="151" t="s">
        <v>5</v>
      </c>
      <c r="B22" s="152" t="s">
        <v>6</v>
      </c>
      <c r="C22" s="153" t="s">
        <v>7</v>
      </c>
      <c r="D22" s="154" t="s">
        <v>10</v>
      </c>
      <c r="E22" s="155" t="s">
        <v>6</v>
      </c>
      <c r="F22" s="156" t="s">
        <v>7</v>
      </c>
      <c r="G22" s="157" t="s">
        <v>10</v>
      </c>
    </row>
    <row r="23" spans="1:7" x14ac:dyDescent="0.25">
      <c r="A23" s="158" t="s">
        <v>25</v>
      </c>
      <c r="B23" s="159"/>
      <c r="C23" s="160"/>
      <c r="D23" s="161"/>
      <c r="E23" s="162"/>
      <c r="F23" s="160"/>
      <c r="G23" s="161"/>
    </row>
    <row r="24" spans="1:7" x14ac:dyDescent="0.25">
      <c r="A24" s="163" t="s">
        <v>13</v>
      </c>
      <c r="B24" s="162"/>
      <c r="C24" s="160"/>
      <c r="D24" s="161"/>
      <c r="E24" s="162"/>
      <c r="F24" s="160"/>
      <c r="G24" s="161"/>
    </row>
    <row r="25" spans="1:7" x14ac:dyDescent="0.25">
      <c r="A25" s="163" t="s">
        <v>14</v>
      </c>
      <c r="B25" s="162"/>
      <c r="C25" s="160"/>
      <c r="D25" s="161"/>
      <c r="E25" s="162"/>
      <c r="F25" s="160"/>
      <c r="G25" s="161"/>
    </row>
    <row r="26" spans="1:7" x14ac:dyDescent="0.25">
      <c r="A26" s="163" t="s">
        <v>15</v>
      </c>
      <c r="B26" s="162"/>
      <c r="C26" s="160"/>
      <c r="D26" s="161"/>
      <c r="E26" s="162"/>
      <c r="F26" s="160"/>
      <c r="G26" s="161"/>
    </row>
    <row r="27" spans="1:7" x14ac:dyDescent="0.25">
      <c r="A27" s="163" t="s">
        <v>16</v>
      </c>
      <c r="B27" s="162"/>
      <c r="C27" s="160"/>
      <c r="D27" s="161"/>
      <c r="E27" s="162"/>
      <c r="F27" s="160"/>
      <c r="G27" s="161"/>
    </row>
    <row r="28" spans="1:7" x14ac:dyDescent="0.25">
      <c r="A28" s="163" t="s">
        <v>26</v>
      </c>
      <c r="B28" s="162"/>
      <c r="C28" s="160"/>
      <c r="D28" s="161"/>
      <c r="E28" s="162"/>
      <c r="F28" s="160"/>
      <c r="G28" s="161"/>
    </row>
    <row r="29" spans="1:7" x14ac:dyDescent="0.25">
      <c r="A29" s="163" t="s">
        <v>27</v>
      </c>
      <c r="B29" s="162"/>
      <c r="C29" s="160"/>
      <c r="D29" s="161"/>
      <c r="E29" s="162"/>
      <c r="F29" s="160"/>
      <c r="G29" s="161"/>
    </row>
    <row r="30" spans="1:7" x14ac:dyDescent="0.25">
      <c r="A30" s="163" t="s">
        <v>28</v>
      </c>
      <c r="B30" s="162"/>
      <c r="C30" s="160"/>
      <c r="D30" s="161"/>
      <c r="E30" s="162"/>
      <c r="F30" s="160"/>
      <c r="G30" s="161"/>
    </row>
    <row r="31" spans="1:7" x14ac:dyDescent="0.25">
      <c r="A31" s="163" t="s">
        <v>17</v>
      </c>
      <c r="B31" s="162"/>
      <c r="C31" s="160"/>
      <c r="D31" s="161"/>
      <c r="E31" s="162"/>
      <c r="F31" s="160"/>
      <c r="G31" s="161"/>
    </row>
    <row r="32" spans="1:7" x14ac:dyDescent="0.25">
      <c r="A32" s="158" t="s">
        <v>18</v>
      </c>
      <c r="B32" s="162"/>
      <c r="C32" s="160"/>
      <c r="D32" s="161"/>
      <c r="E32" s="162"/>
      <c r="F32" s="160"/>
      <c r="G32" s="161"/>
    </row>
    <row r="33" spans="1:9" x14ac:dyDescent="0.25">
      <c r="A33" s="158" t="s">
        <v>19</v>
      </c>
      <c r="B33" s="162"/>
      <c r="C33" s="160"/>
      <c r="D33" s="161"/>
      <c r="E33" s="162"/>
      <c r="F33" s="160"/>
      <c r="G33" s="161"/>
    </row>
    <row r="34" spans="1:9" x14ac:dyDescent="0.25">
      <c r="A34" s="158" t="s">
        <v>20</v>
      </c>
      <c r="B34" s="162"/>
      <c r="C34" s="160"/>
      <c r="D34" s="161"/>
      <c r="E34" s="162"/>
      <c r="F34" s="160"/>
      <c r="G34" s="161"/>
    </row>
    <row r="35" spans="1:9" x14ac:dyDescent="0.25">
      <c r="A35" s="158" t="s">
        <v>21</v>
      </c>
      <c r="B35" s="162"/>
      <c r="C35" s="160"/>
      <c r="D35" s="161"/>
      <c r="E35" s="162"/>
      <c r="F35" s="160"/>
      <c r="G35" s="161"/>
    </row>
    <row r="36" spans="1:9" x14ac:dyDescent="0.25">
      <c r="A36" s="158" t="s">
        <v>22</v>
      </c>
      <c r="B36" s="162"/>
      <c r="C36" s="160"/>
      <c r="D36" s="161"/>
      <c r="E36" s="162"/>
      <c r="F36" s="160"/>
      <c r="G36" s="161"/>
    </row>
    <row r="37" spans="1:9" x14ac:dyDescent="0.25">
      <c r="A37" s="158" t="s">
        <v>23</v>
      </c>
      <c r="B37" s="162"/>
      <c r="C37" s="160"/>
      <c r="D37" s="161"/>
      <c r="E37" s="162"/>
      <c r="F37" s="160"/>
      <c r="G37" s="161"/>
    </row>
    <row r="38" spans="1:9" x14ac:dyDescent="0.25">
      <c r="A38" s="158" t="s">
        <v>24</v>
      </c>
      <c r="B38" s="162"/>
      <c r="C38" s="160"/>
      <c r="D38" s="161"/>
      <c r="E38" s="162"/>
      <c r="F38" s="160"/>
      <c r="G38" s="161"/>
    </row>
    <row r="39" spans="1:9" x14ac:dyDescent="0.25">
      <c r="A39" s="164"/>
      <c r="B39" s="162"/>
      <c r="C39" s="160"/>
      <c r="D39" s="161"/>
      <c r="E39" s="162"/>
      <c r="F39" s="160"/>
      <c r="G39" s="161"/>
    </row>
    <row r="40" spans="1:9" x14ac:dyDescent="0.25">
      <c r="A40" s="164"/>
      <c r="B40" s="162"/>
      <c r="C40" s="160"/>
      <c r="D40" s="161"/>
      <c r="E40" s="162"/>
      <c r="F40" s="160"/>
      <c r="G40" s="161"/>
    </row>
    <row r="41" spans="1:9" x14ac:dyDescent="0.25">
      <c r="A41" s="165" t="s">
        <v>160</v>
      </c>
      <c r="B41" s="166"/>
      <c r="C41" s="167">
        <f>SUM(C23:C40)-C28-C29-C30</f>
        <v>0</v>
      </c>
      <c r="D41" s="168">
        <f>SUM(D23:D40)-D28-D29-D30</f>
        <v>0</v>
      </c>
      <c r="E41" s="169"/>
      <c r="F41" s="167">
        <f>SUM(F23:F40)-F28-F29-F30</f>
        <v>0</v>
      </c>
      <c r="G41" s="168">
        <f>SUM(G23:G40)-G28-G29-G30</f>
        <v>0</v>
      </c>
    </row>
    <row r="42" spans="1:9" x14ac:dyDescent="0.25">
      <c r="A42" s="165" t="s">
        <v>158</v>
      </c>
      <c r="B42" s="127"/>
      <c r="C42" s="170">
        <f>C41/C12</f>
        <v>0</v>
      </c>
      <c r="D42" s="171">
        <f>D41/C12</f>
        <v>0</v>
      </c>
      <c r="E42" s="172"/>
      <c r="F42" s="170">
        <f>F41/F12</f>
        <v>0</v>
      </c>
      <c r="G42" s="171">
        <f>G41/F12</f>
        <v>0</v>
      </c>
    </row>
    <row r="43" spans="1:9" x14ac:dyDescent="0.25">
      <c r="A43" s="165" t="s">
        <v>161</v>
      </c>
      <c r="B43" s="127"/>
      <c r="C43" s="170">
        <f>SUM(C23:C40)</f>
        <v>0</v>
      </c>
      <c r="D43" s="171">
        <f>SUM(D23:D40)</f>
        <v>0</v>
      </c>
      <c r="E43" s="172"/>
      <c r="F43" s="170">
        <f>SUM(F23:F40)</f>
        <v>0</v>
      </c>
      <c r="G43" s="171">
        <f>SUM(G23:G40)</f>
        <v>0</v>
      </c>
    </row>
    <row r="44" spans="1:9" x14ac:dyDescent="0.25">
      <c r="A44" s="173" t="s">
        <v>159</v>
      </c>
      <c r="B44" s="127" t="s">
        <v>44</v>
      </c>
      <c r="C44" s="170">
        <f>C43/C12</f>
        <v>0</v>
      </c>
      <c r="D44" s="171">
        <f>D43/C12</f>
        <v>0</v>
      </c>
      <c r="E44" s="127" t="s">
        <v>44</v>
      </c>
      <c r="F44" s="170">
        <f>F43/F12</f>
        <v>0</v>
      </c>
      <c r="G44" s="171">
        <f>G43/F12</f>
        <v>0</v>
      </c>
    </row>
    <row r="45" spans="1:9" x14ac:dyDescent="0.25">
      <c r="A45" s="165"/>
      <c r="B45" s="127"/>
      <c r="C45" s="174" t="s">
        <v>101</v>
      </c>
      <c r="D45" s="175" t="s">
        <v>102</v>
      </c>
      <c r="E45" s="127"/>
      <c r="F45" s="174" t="s">
        <v>101</v>
      </c>
      <c r="G45" s="175" t="s">
        <v>102</v>
      </c>
    </row>
    <row r="46" spans="1:9" x14ac:dyDescent="0.25">
      <c r="A46" s="122" t="s">
        <v>157</v>
      </c>
      <c r="B46" s="127" t="s">
        <v>45</v>
      </c>
      <c r="C46" s="170">
        <f>IF(B7="SI",0,IF(C44&gt;C18,C18,C44))</f>
        <v>0</v>
      </c>
      <c r="D46" s="170">
        <f>IF(B7="SI",0,IF(D44&gt;D18,D18,D44))</f>
        <v>0</v>
      </c>
      <c r="E46" s="176" t="s">
        <v>45</v>
      </c>
      <c r="F46" s="170">
        <f>IF(B7="SI",0,IF(F44&gt;F18,F18,F44))</f>
        <v>0</v>
      </c>
      <c r="G46" s="171">
        <f>IF(B7="SI",0,IF(G44&gt;G18,G18,G44))</f>
        <v>0</v>
      </c>
      <c r="H46" s="131"/>
      <c r="I46" s="131"/>
    </row>
    <row r="47" spans="1:9" x14ac:dyDescent="0.25">
      <c r="A47" s="177" t="s">
        <v>140</v>
      </c>
      <c r="B47" s="127" t="s">
        <v>122</v>
      </c>
      <c r="C47" s="178">
        <f>IF(C12&gt;500,C46*500,C46*C12)</f>
        <v>0</v>
      </c>
      <c r="D47" s="178">
        <f>IF(C12&gt;500,D46*500,D46*C12)</f>
        <v>0</v>
      </c>
      <c r="E47" s="176" t="s">
        <v>122</v>
      </c>
      <c r="F47" s="178">
        <f>IF(F12&gt;500,F46*500,F46*F12)</f>
        <v>0</v>
      </c>
      <c r="G47" s="179">
        <f>IF(F12&gt;500,G46*500,G46*F12)</f>
        <v>0</v>
      </c>
      <c r="I47" s="180"/>
    </row>
    <row r="48" spans="1:9" x14ac:dyDescent="0.25">
      <c r="A48" s="122" t="s">
        <v>141</v>
      </c>
      <c r="B48" s="123"/>
      <c r="C48" s="170">
        <f>C43-C47</f>
        <v>0</v>
      </c>
      <c r="D48" s="171">
        <f>D43-D47</f>
        <v>0</v>
      </c>
      <c r="E48" s="172"/>
      <c r="F48" s="170">
        <f>F43-F47</f>
        <v>0</v>
      </c>
      <c r="G48" s="171">
        <f>G43-G47</f>
        <v>0</v>
      </c>
    </row>
    <row r="49" spans="1:10" ht="15.75" thickBot="1" x14ac:dyDescent="0.3">
      <c r="A49" s="181" t="s">
        <v>47</v>
      </c>
      <c r="B49" s="182">
        <f>C6</f>
        <v>0.6</v>
      </c>
      <c r="C49" s="183">
        <f>IF(C47*C6&gt;300000,300000,C47*C6)</f>
        <v>0</v>
      </c>
      <c r="D49" s="183">
        <f>IF(D47*C6&gt;300000,300000,D47*C6)</f>
        <v>0</v>
      </c>
      <c r="E49" s="182">
        <f>C6</f>
        <v>0.6</v>
      </c>
      <c r="F49" s="183">
        <f>IF(F47*C6&gt;300000,300000,F47*C6)</f>
        <v>0</v>
      </c>
      <c r="G49" s="184">
        <f>IF(G47*C6&gt;300000,300000,G47*C6)</f>
        <v>0</v>
      </c>
    </row>
    <row r="50" spans="1:10" x14ac:dyDescent="0.25">
      <c r="F50" s="185"/>
      <c r="G50" s="185"/>
    </row>
    <row r="52" spans="1:10" x14ac:dyDescent="0.25">
      <c r="F52" s="186"/>
      <c r="G52" s="186"/>
    </row>
    <row r="53" spans="1:10" x14ac:dyDescent="0.25">
      <c r="A53" s="187" t="s">
        <v>50</v>
      </c>
      <c r="B53" s="188"/>
      <c r="C53" s="188"/>
      <c r="D53" s="188"/>
      <c r="E53" s="188"/>
      <c r="F53" s="186"/>
      <c r="G53" s="186"/>
    </row>
    <row r="54" spans="1:10" x14ac:dyDescent="0.25">
      <c r="A54" s="188"/>
      <c r="B54" s="188"/>
      <c r="C54" s="188"/>
      <c r="D54" s="188"/>
      <c r="E54" s="188"/>
    </row>
    <row r="55" spans="1:10" x14ac:dyDescent="0.25">
      <c r="A55" s="189" t="s">
        <v>49</v>
      </c>
      <c r="B55" s="188"/>
      <c r="C55" s="188"/>
      <c r="D55" s="188"/>
      <c r="E55" s="188"/>
      <c r="I55" s="190"/>
    </row>
    <row r="56" spans="1:10" x14ac:dyDescent="0.25">
      <c r="A56" s="191" t="s">
        <v>30</v>
      </c>
      <c r="B56" s="191" t="s">
        <v>31</v>
      </c>
      <c r="C56" s="191" t="s">
        <v>135</v>
      </c>
      <c r="D56" s="191" t="s">
        <v>136</v>
      </c>
      <c r="E56" s="191" t="s">
        <v>145</v>
      </c>
      <c r="F56" s="191" t="s">
        <v>138</v>
      </c>
      <c r="G56" s="191" t="s">
        <v>139</v>
      </c>
      <c r="H56" s="191" t="s">
        <v>32</v>
      </c>
      <c r="I56" s="191" t="s">
        <v>33</v>
      </c>
      <c r="J56" s="191" t="s">
        <v>34</v>
      </c>
    </row>
    <row r="57" spans="1:10" x14ac:dyDescent="0.25">
      <c r="A57" s="192" t="s">
        <v>41</v>
      </c>
      <c r="B57" s="193">
        <v>749</v>
      </c>
      <c r="C57" s="194">
        <f>(C59*10+MIN(C42,B58)*90+MIN(C42,B57)*(C12-100))/C12</f>
        <v>0</v>
      </c>
      <c r="D57" s="195">
        <f>(D59*10+MIN(D42,B58)*90+MIN(D42,B57)*(C12-100))/C12</f>
        <v>0</v>
      </c>
      <c r="E57" s="196">
        <f>(B59*10+B58*90+B57*(C12-100))/C12</f>
        <v>2637</v>
      </c>
      <c r="F57" s="195">
        <f>(F59*10+MIN(F42,B58)*90+MIN(F42,B57)*(F12-100))/F12</f>
        <v>0</v>
      </c>
      <c r="G57" s="195">
        <f>(G59*10+MIN(G42,B58)*90+MIN(G42,B57)*(F12-100))/F12</f>
        <v>0</v>
      </c>
      <c r="H57" s="193">
        <v>500</v>
      </c>
      <c r="I57" s="197">
        <v>720</v>
      </c>
      <c r="J57" s="197">
        <v>200</v>
      </c>
    </row>
    <row r="58" spans="1:10" x14ac:dyDescent="0.25">
      <c r="A58" s="192" t="s">
        <v>42</v>
      </c>
      <c r="B58" s="193">
        <v>910</v>
      </c>
      <c r="C58" s="194">
        <f>(C59*10+MIN(C42,B58)*(C12-10))/C12</f>
        <v>0</v>
      </c>
      <c r="D58" s="195">
        <f>(D59*10+MIN(D42,B58)*(C12-10))/C12</f>
        <v>0</v>
      </c>
      <c r="E58" s="196">
        <f>(B59*10+B58*(C12-10))/C12</f>
        <v>1188</v>
      </c>
      <c r="F58" s="195">
        <f>(F59*10+MIN(F42,B58)*(F12-10))/F12</f>
        <v>0</v>
      </c>
      <c r="G58" s="195">
        <f>(G59*10+MIN(G42,B58)*(F12-10))/F12</f>
        <v>0</v>
      </c>
      <c r="H58" s="193">
        <v>500</v>
      </c>
      <c r="I58" s="197">
        <v>817</v>
      </c>
      <c r="J58" s="197">
        <v>300</v>
      </c>
    </row>
    <row r="59" spans="1:10" x14ac:dyDescent="0.25">
      <c r="A59" s="192" t="s">
        <v>43</v>
      </c>
      <c r="B59" s="193">
        <v>1188</v>
      </c>
      <c r="C59" s="195">
        <f>MIN(C42,B59)</f>
        <v>0</v>
      </c>
      <c r="D59" s="195">
        <f>MIN(D42,B59)</f>
        <v>0</v>
      </c>
      <c r="E59" s="196">
        <f>B59</f>
        <v>1188</v>
      </c>
      <c r="F59" s="195">
        <f>MIN(F42,B59)</f>
        <v>0</v>
      </c>
      <c r="G59" s="195">
        <f>MIN(G42,B59)</f>
        <v>0</v>
      </c>
      <c r="H59" s="193">
        <v>500</v>
      </c>
      <c r="I59" s="197">
        <v>1082</v>
      </c>
      <c r="J59" s="197">
        <v>400</v>
      </c>
    </row>
    <row r="60" spans="1:10" x14ac:dyDescent="0.25">
      <c r="A60" s="110"/>
      <c r="D60" s="190"/>
      <c r="E60" s="190"/>
    </row>
    <row r="61" spans="1:10" x14ac:dyDescent="0.25">
      <c r="A61" s="198" t="s">
        <v>51</v>
      </c>
      <c r="D61" s="190"/>
      <c r="E61" s="190"/>
    </row>
    <row r="62" spans="1:10" x14ac:dyDescent="0.25">
      <c r="A62" s="191" t="s">
        <v>0</v>
      </c>
      <c r="B62" s="191" t="s">
        <v>1</v>
      </c>
      <c r="D62" s="190"/>
      <c r="E62" s="190"/>
    </row>
    <row r="63" spans="1:10" x14ac:dyDescent="0.25">
      <c r="A63" s="193" t="s">
        <v>2</v>
      </c>
      <c r="B63" s="199">
        <v>0.4</v>
      </c>
      <c r="D63" s="190"/>
      <c r="E63" s="190"/>
    </row>
    <row r="64" spans="1:10" x14ac:dyDescent="0.25">
      <c r="A64" s="193" t="s">
        <v>11</v>
      </c>
      <c r="B64" s="199">
        <v>0.5</v>
      </c>
      <c r="C64" s="188"/>
      <c r="D64" s="188"/>
      <c r="E64" s="188"/>
    </row>
    <row r="65" spans="1:7" x14ac:dyDescent="0.25">
      <c r="A65" s="193" t="s">
        <v>12</v>
      </c>
      <c r="B65" s="199">
        <v>0.6</v>
      </c>
      <c r="C65" s="188"/>
      <c r="D65" s="188"/>
      <c r="E65" s="188"/>
    </row>
    <row r="66" spans="1:7" x14ac:dyDescent="0.25">
      <c r="A66" s="193" t="s">
        <v>133</v>
      </c>
      <c r="B66" s="199">
        <v>0.7</v>
      </c>
      <c r="C66" s="188"/>
      <c r="D66" s="188"/>
      <c r="E66" s="188"/>
    </row>
    <row r="68" spans="1:7" ht="135" x14ac:dyDescent="0.25">
      <c r="A68" s="189" t="s">
        <v>155</v>
      </c>
      <c r="C68" s="110" t="str">
        <f>VLOOKUP(C10,$A$69:$G$71,3,FALSE)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D68" s="110" t="str">
        <f>VLOOKUP(C10,$A$69:$G$71,4,FALSE)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F68" s="110" t="str">
        <f>VLOOKUP(F10,$A$69:$G$71,6,FALSE)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G68" s="110" t="str">
        <f>VLOOKUP(F10,$A$69:$G$71,7,FALSE)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</row>
    <row r="69" spans="1:7" ht="135" x14ac:dyDescent="0.25">
      <c r="A69" s="200" t="s">
        <v>41</v>
      </c>
      <c r="B69" s="201"/>
      <c r="C69" s="200" t="str">
        <f>"Càlcul de la subvenció programa 1. Càlcul del cost subvencionable:  A1 (cost unitari presentat): "&amp;TEXT(C44,"0,00")&amp;" euros/kWp; Valors taula 1: A3 (P menor_igual 10 kWp): "&amp;TEXT(C59*10,"0,00")&amp;" euros/kWp; A3 (P major 10 y P menor_igual 100 kWp): "&amp;TEXT(MIN(C42,B58)*90,"0,00")&amp;" euros/kWp; A3 (P major 100 y P menor_igual 500 kWp): "&amp;TEXT(MIN(C42,B57)*(C12-100),"0,00")&amp;" euros/kWp. Percentatge ajut aplicat (%):"&amp;B49*100&amp;". Cost unitari amiant: "&amp;C16&amp;"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D69" s="200" t="str">
        <f>"Càlcul de la subvenció programa 1. Càlcul del cost subvencionable:  A1 (cost unitari presentat): "&amp;TEXT(D44,"0,00")&amp;" euros/kWp; Valors taula 1: A3 (P menor_igual 10 kWp): "&amp;TEXT(D59*10,"0,00")&amp;" euros/kWp; A3 (P major 10 y P menor_igual 100 kWp): "&amp;TEXT(MIN(D42,B58)*90,"0,00")&amp;" euros/kWp; A3 (P major 100 y P menor_igual 500 kWp): "&amp;TEXT(MIN(D42,B57)*(C12-100),"0,00")&amp;" euros/kWp. Percentatge ajut aplicat (%):"&amp;B49*100&amp;". Cost unitari amiant: "&amp;D16&amp;"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E69" s="201"/>
      <c r="F69" s="200" t="str">
        <f>"Càlcul de la subvenció programa 1. Càlcul del cost subvencionable:  A1 (cost unitari presentat): "&amp;TEXT(F44,"0,00")&amp;" euros/kWp; Valors taula 1: A3 (P menor_igual 10 kWp): "&amp;TEXT(F59*10,"0,00")&amp;" euros/kWp; A3 (P major 10 y P menor_igual 100 kWp): "&amp;TEXT(MIN(F42,B58)*90,"0,00")&amp;" euros/kWp; A3 (P major 100 y P menor_igual 500 kWp): "&amp;TEXT(MIN(F42,B57)*(F12-100),"0,00")&amp;" euros/kWp. Percentatge ajut aplicat (%):"&amp;E49*100&amp;". Cost unitari amiant: "&amp;F16&amp;"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G69" s="200" t="str">
        <f>"Càlcul de la subvenció programa 1. Càlcul del cost subvencionable:  A1 (cost unitari presentat): "&amp;TEXT(G44,"0,00")&amp;" euros/kWp; Valors taula 1: A3 (P menor_igual 10 kWp): "&amp;TEXT(G59*10,"0,00")&amp;" euros/kWp; A3 (P major 10 y P menor_igual 100 kWp): "&amp;TEXT(MIN(G42,B58)*90,"0,00")&amp;" euros/kWp; A3 (P major 100 y P menor_igual 500 kWp): "&amp;TEXT(MIN(G42,B57)*(F12-100),"0,00")&amp;" euros/kWp. Percentatge ajut aplicat (%):"&amp;E49*100&amp;". Cost unitari amiant: "&amp;G16&amp;"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</row>
    <row r="70" spans="1:7" ht="135" x14ac:dyDescent="0.25">
      <c r="A70" s="200" t="s">
        <v>42</v>
      </c>
      <c r="B70" s="201"/>
      <c r="C70" s="200" t="str">
        <f>"Càlcul de la subvenció programa 1. Càlcul del cost subvencionable:  A1 (cost unitari presentat): "&amp;TEXT(C44,"0,00")&amp;" euros/kWp; Valors taula 1: A3 (P menor_igual 10 kWp): "&amp;TEXT(C59*10,"0,00")&amp;" euros/kWp; A3 (P major 10 y P menor_igual 100 kWp): "&amp;TEXT(MIN(C42,B58)*(C12-10),"0,00")&amp;" euros/kWp; A3 (P major 100 y P menor_igual 500 kWp): 0,00 euros/kWp. Percentatge ajut aplicat (%):"&amp;B49*100&amp;". Cost unitari amiant: "&amp;C16&amp;"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D70" s="200" t="str">
        <f>"Càlcul de la subvenció programa 1. Càlcul del cost subvencionable:  A1 (cost unitari presentat): "&amp;TEXT(D44,"0,00")&amp;" euros/kWp; Valors taula 1: A3 (P menor_igual 10 kWp): "&amp;TEXT(D59*10,"0,00")&amp;" euros/kWp; A3 (P major 10 y P menor_igual 100 kWp): "&amp;TEXT(MIN(D42,B58)*(C12-10),"0,00")&amp;" euros/kWp; A3 (P major 100 y P menor_igual 500 kWp): 0,00 euros/kWp. Percentatge ajut aplicat (%):"&amp;B49*100&amp;". Cost unitari amiant: "&amp;D16&amp;"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E70" s="201"/>
      <c r="F70" s="200" t="str">
        <f>"Càlcul de la subvenció programa 1. Càlcul del cost subvencionable:  A1 (cost unitari presentat): "&amp;TEXT(F44,"0,00")&amp;" euros/kWp; Valors taula 1: A3 (P menor_igual 10 kWp): "&amp;TEXT(F59*10,"0,00")&amp;" euros/kWp; A3 (P major 10 y P menor_igual 100 kWp): "&amp;TEXT(MIN(F42,B58)*(F12-10),"0,00")&amp;" euros/kWp; A3 (P major 100 y P menor_igual 500 kWp): 0,00 euros/kWp. Percentatge ajut aplicat (%):"&amp;E49*100&amp;". Cost unitari amiant: "&amp;F16&amp;"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G70" s="200" t="str">
        <f>"Càlcul de la subvenció programa 1. Càlcul del cost subvencionable:  A1 (cost unitari presentat): "&amp;TEXT(G44,"0,00")&amp;" euros/kWp; Valors taula 1: A3 (P menor_igual 10 kWp): "&amp;TEXT(G59*10,"0,00")&amp;" euros/kWp; A3 (P major 10 y P menor_igual 100 kWp): "&amp;TEXT(MIN(G42,B58)*(F12-10),"0,00")&amp;" euros/kWp; A3 (P major 100 y P menor_igual 500 kWp): 0,00 euros/kWp. Percentatge ajut aplicat (%):"&amp;E49*100&amp;". Cost unitari amiant: "&amp;G16&amp;"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</row>
    <row r="71" spans="1:7" ht="135" x14ac:dyDescent="0.25">
      <c r="A71" s="200" t="s">
        <v>43</v>
      </c>
      <c r="B71" s="201"/>
      <c r="C71" s="200" t="str">
        <f>"Càlcul de la subvenció programa 1. Càlcul del cost subvencionable:  A1 (cost unitari presentat): "&amp;TEXT(C44,"0,00")&amp;" euros/kWp; Valors taula 1: A3 (P menor_igual 10 kWp): "&amp;TEXT(C59*C12,"0,00")&amp;" euros/kWp; A3 (P major 10 y P menor_igual 100 kWp): 0,00 euros/kWp; A3 (P major 100 y P menor_igual 500 kWp): 0,00 euros/kWp. Percentatge ajut aplicat (%):"&amp;B49*100&amp;". Cost unitari amiant: "&amp;C16&amp;"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D71" s="200" t="str">
        <f>"Càlcul de la subvenció programa 1. Càlcul del cost subvencionable:  A1 (cost unitari presentat): "&amp;TEXT(D44,"0,00")&amp;" euros/kWp; Valors taula 1: A3 (P menor_igual 10 kWp): "&amp;TEXT(D59*C12,"0,00")&amp;" euros/kWp; A3 (P major 10 y P menor_igual 100 kWp): 0,00 euros/kWp; A3 (P major 100 y P menor_igual 500 kWp): 0,00 euros/kWp. Percentatge ajut aplicat (%):"&amp;B49*100&amp;". Cost unitari amiant: "&amp;D16&amp;"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E71" s="201"/>
      <c r="F71" s="200" t="str">
        <f>"Càlcul de la subvenció programa 1. Càlcul del cost subvencionable:  A1 (cost unitari presentat): "&amp;TEXT(F44,"0,00")&amp;" euros/kWp; Valors taula 1: A3 (P menor_igual 10 kWp): "&amp;TEXT(F59*F12,"0,00")&amp;" euros/kWp; A3 (P major 10 y P menor_igual 100 kWp): 0,00 euros/kWp; A3 (P major 100 y P menor_igual 500 kWp): 0,00 euros/kWp. Percentatge ajut aplicat (%):"&amp;E49*100&amp;". Cost unitari amiant: "&amp;F16&amp;"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  <c r="G71" s="200" t="str">
        <f>"Càlcul de la subvenció programa 1. Càlcul del cost subvencionable:  A1 (cost unitari presentat): "&amp;TEXT(G44,"0,00")&amp;" euros/kWp; Valors taula 1: A3 (P menor_igual 10 kWp): "&amp;TEXT(G59*F12,"0,00")&amp;" euros/kWp; A3 (P major 10 y P menor_igual 100 kWp): 0,00 euros/kWp; A3 (P major 100 y P menor_igual 500 kWp): 0,00 euros/kWp. Percentatge ajut aplicat (%):"&amp;E49*100&amp;". Cost unitari amiant: "&amp;G16&amp;" euros/kWp"</f>
        <v>Càlcul de la subvenció programa 1. Càlcul del cost subvencionable:  A1 (cost unitari presentat): 0,00 euros/kWp; Valors taula 1: A3 (P menor_igual 10 kWp): 0,00 euros/kWp; A3 (P major 10 y P menor_igual 100 kWp): 0,00 euros/kWp; A3 (P major 100 y P menor_igual 500 kWp): 0,00 euros/kWp. Percentatge ajut aplicat (%):60. Cost unitari amiant: 0 euros/kWp</v>
      </c>
    </row>
  </sheetData>
  <sheetProtection algorithmName="SHA-512" hashValue="Iuy0V5+kWGgQZqL+kUxIfdSUJ6aICZucCEZZdnlTAmClHiPeW9KLHIFRmJViHdfDY0vx01ILYXB6FdieP04PAA==" saltValue="AYC6w9COPDmTtSfFkkD3nQ==" spinCount="100000" sheet="1" objects="1" scenarios="1"/>
  <mergeCells count="4">
    <mergeCell ref="B21:D21"/>
    <mergeCell ref="E21:G21"/>
    <mergeCell ref="B9:D9"/>
    <mergeCell ref="E9:G9"/>
  </mergeCells>
  <dataValidations count="4">
    <dataValidation type="decimal" operator="greaterThan" allowBlank="1" showInputMessage="1" showErrorMessage="1" sqref="F12 C12" xr:uid="{00000000-0002-0000-0100-000000000000}">
      <formula1>0</formula1>
    </dataValidation>
    <dataValidation type="list" allowBlank="1" showInputMessage="1" showErrorMessage="1" sqref="C5" xr:uid="{00000000-0002-0000-0100-000002000000}">
      <formula1>$A$63:$A$66</formula1>
    </dataValidation>
    <dataValidation type="list" allowBlank="1" showInputMessage="1" showErrorMessage="1" sqref="B15:B17 B7" xr:uid="{00000000-0002-0000-0100-000004000000}">
      <formula1>"SI,NO"</formula1>
    </dataValidation>
    <dataValidation type="decimal" allowBlank="1" showInputMessage="1" showErrorMessage="1" errorTitle="Potència" error="La potència total instal·lada de la instal·lació, incloses les ampliacions, ha de ser menor o igual a 500 kW." sqref="F11 C11" xr:uid="{00000000-0002-0000-0100-000005000000}">
      <formula1>0</formula1>
      <formula2>500</formula2>
    </dataValidation>
  </dataValidations>
  <pageMargins left="0.7" right="0.7" top="0.75" bottom="0.75" header="0.3" footer="0.3"/>
  <pageSetup paperSize="9" scale="67" orientation="portrait" r:id="rId1"/>
  <colBreaks count="1" manualBreakCount="1">
    <brk id="7" max="3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1"/>
  <sheetViews>
    <sheetView topLeftCell="A19" zoomScaleNormal="100" workbookViewId="0">
      <selection activeCell="C11" sqref="C11"/>
    </sheetView>
  </sheetViews>
  <sheetFormatPr baseColWidth="10" defaultColWidth="11.42578125" defaultRowHeight="15" x14ac:dyDescent="0.25"/>
  <cols>
    <col min="1" max="1" width="89.42578125" style="2" bestFit="1" customWidth="1"/>
    <col min="2" max="2" width="9.42578125" style="2" bestFit="1" customWidth="1"/>
    <col min="3" max="3" width="42.7109375" style="2" customWidth="1"/>
    <col min="4" max="4" width="38.42578125" style="2" customWidth="1"/>
    <col min="5" max="5" width="9.42578125" style="2" bestFit="1" customWidth="1"/>
    <col min="6" max="6" width="43.7109375" style="2" bestFit="1" customWidth="1"/>
    <col min="7" max="7" width="35.7109375" style="2" bestFit="1" customWidth="1"/>
    <col min="8" max="8" width="41.7109375" style="2" customWidth="1"/>
    <col min="9" max="11" width="11.42578125" style="2"/>
    <col min="12" max="12" width="42" style="2" customWidth="1"/>
    <col min="13" max="13" width="18.140625" style="2" customWidth="1"/>
    <col min="14" max="14" width="11.42578125" style="2"/>
    <col min="15" max="15" width="39" style="2" bestFit="1" customWidth="1"/>
    <col min="16" max="16" width="3" style="2" bestFit="1" customWidth="1"/>
    <col min="17" max="16384" width="11.42578125" style="2"/>
  </cols>
  <sheetData>
    <row r="1" spans="1:7" ht="26.25" x14ac:dyDescent="0.25">
      <c r="A1" s="9" t="s">
        <v>3</v>
      </c>
      <c r="B1" s="9"/>
      <c r="C1" s="9" t="s">
        <v>74</v>
      </c>
      <c r="E1" s="9"/>
      <c r="F1" s="9"/>
    </row>
    <row r="2" spans="1:7" ht="26.25" x14ac:dyDescent="0.25">
      <c r="B2" s="9"/>
      <c r="E2" s="9"/>
      <c r="F2" s="9"/>
    </row>
    <row r="3" spans="1:7" ht="23.25" x14ac:dyDescent="0.25">
      <c r="A3" s="80" t="s">
        <v>76</v>
      </c>
    </row>
    <row r="4" spans="1:7" ht="23.25" x14ac:dyDescent="0.25">
      <c r="A4" s="80"/>
    </row>
    <row r="5" spans="1:7" x14ac:dyDescent="0.25">
      <c r="A5" s="19" t="s">
        <v>52</v>
      </c>
      <c r="B5" s="20"/>
      <c r="C5" s="79" t="s">
        <v>133</v>
      </c>
    </row>
    <row r="6" spans="1:7" x14ac:dyDescent="0.25">
      <c r="A6" s="19" t="s">
        <v>53</v>
      </c>
      <c r="B6" s="20"/>
      <c r="C6" s="18">
        <f>VLOOKUP(C5,'Programa 2'!$A$58:$B61,2,FALSE)</f>
        <v>0.7</v>
      </c>
      <c r="E6" s="3"/>
      <c r="F6" s="3"/>
    </row>
    <row r="7" spans="1:7" x14ac:dyDescent="0.25">
      <c r="A7" s="19" t="s">
        <v>96</v>
      </c>
      <c r="B7" s="65" t="s">
        <v>93</v>
      </c>
      <c r="C7" s="18" t="str">
        <f>IF(B7="SI",IF(C5=A61,"Ajut limitat a 25.000 €","Tipus d'empresa mal sel·leccionada"),"Ajut limitat a 100.000 €")</f>
        <v>Ajut limitat a 100.000 €</v>
      </c>
      <c r="E7" s="3"/>
      <c r="F7" s="3"/>
    </row>
    <row r="8" spans="1:7" ht="15.75" thickBot="1" x14ac:dyDescent="0.3">
      <c r="C8" s="14"/>
      <c r="E8" s="3"/>
      <c r="F8" s="3"/>
    </row>
    <row r="9" spans="1:7" ht="19.5" thickBot="1" x14ac:dyDescent="0.3">
      <c r="A9" s="50"/>
      <c r="B9" s="216" t="s">
        <v>8</v>
      </c>
      <c r="C9" s="217"/>
      <c r="D9" s="218"/>
      <c r="E9" s="216" t="s">
        <v>9</v>
      </c>
      <c r="F9" s="217"/>
      <c r="G9" s="218"/>
    </row>
    <row r="10" spans="1:7" x14ac:dyDescent="0.25">
      <c r="A10" s="51" t="s">
        <v>87</v>
      </c>
      <c r="B10" s="27"/>
      <c r="C10" s="17" t="s">
        <v>84</v>
      </c>
      <c r="D10" s="69"/>
      <c r="E10" s="85"/>
      <c r="F10" s="86" t="s">
        <v>84</v>
      </c>
      <c r="G10" s="89"/>
    </row>
    <row r="11" spans="1:7" x14ac:dyDescent="0.25">
      <c r="A11" s="51" t="s">
        <v>78</v>
      </c>
      <c r="B11" s="29" t="s">
        <v>79</v>
      </c>
      <c r="C11" s="70">
        <v>10</v>
      </c>
      <c r="D11" s="30"/>
      <c r="E11" s="29" t="s">
        <v>79</v>
      </c>
      <c r="F11" s="70">
        <v>10</v>
      </c>
      <c r="G11" s="30"/>
    </row>
    <row r="12" spans="1:7" x14ac:dyDescent="0.25">
      <c r="A12" s="51"/>
      <c r="B12" s="27"/>
      <c r="C12" s="5" t="s">
        <v>35</v>
      </c>
      <c r="D12" s="31" t="s">
        <v>36</v>
      </c>
      <c r="E12" s="32"/>
      <c r="F12" s="5" t="s">
        <v>35</v>
      </c>
      <c r="G12" s="31" t="s">
        <v>36</v>
      </c>
    </row>
    <row r="13" spans="1:7" x14ac:dyDescent="0.25">
      <c r="A13" s="51" t="s">
        <v>77</v>
      </c>
      <c r="B13" s="32"/>
      <c r="C13" s="12">
        <f>VLOOKUP(C10,$A$53:$E$54,2,FALSE)</f>
        <v>1130</v>
      </c>
      <c r="D13" s="33">
        <f>C13*C11</f>
        <v>11300</v>
      </c>
      <c r="E13" s="39"/>
      <c r="F13" s="12">
        <f>VLOOKUP(F10,$A$53:$E$54,2,FALSE)</f>
        <v>1130</v>
      </c>
      <c r="G13" s="33">
        <f>F13*F11</f>
        <v>11300</v>
      </c>
    </row>
    <row r="14" spans="1:7" x14ac:dyDescent="0.25">
      <c r="A14" s="51" t="s">
        <v>88</v>
      </c>
      <c r="B14" s="64"/>
      <c r="C14" s="12">
        <f>VLOOKUP(C10,$A$53:$E$54,3,FALSE)</f>
        <v>130</v>
      </c>
      <c r="D14" s="33">
        <f>C14*C11</f>
        <v>1300</v>
      </c>
      <c r="E14" s="39"/>
      <c r="F14" s="12">
        <f>VLOOKUP(F10,$A$53:$E$54,3,FALSE)</f>
        <v>130</v>
      </c>
      <c r="G14" s="33">
        <f>F14*F11</f>
        <v>1300</v>
      </c>
    </row>
    <row r="15" spans="1:7" x14ac:dyDescent="0.25">
      <c r="A15" s="52" t="s">
        <v>89</v>
      </c>
      <c r="B15" s="64"/>
      <c r="C15" s="12">
        <f>VLOOKUP(C10,$A$53:$E$54,4,FALSE)</f>
        <v>1000</v>
      </c>
      <c r="D15" s="33">
        <f>C15*C11</f>
        <v>10000</v>
      </c>
      <c r="E15" s="39"/>
      <c r="F15" s="12">
        <f>VLOOKUP(F10,$A$53:$E$54,4,FALSE)</f>
        <v>1000</v>
      </c>
      <c r="G15" s="33">
        <f>F15*F11</f>
        <v>10000</v>
      </c>
    </row>
    <row r="16" spans="1:7" x14ac:dyDescent="0.25">
      <c r="A16" s="51" t="s">
        <v>94</v>
      </c>
      <c r="B16" s="64"/>
      <c r="C16" s="12">
        <f>VLOOKUP(C10,$A$53:$E$54,5,FALSE)</f>
        <v>0</v>
      </c>
      <c r="D16" s="33">
        <f>C16*C11</f>
        <v>0</v>
      </c>
      <c r="E16" s="39"/>
      <c r="F16" s="12">
        <f>VLOOKUP(F10,$A$53:$E$54,5,FALSE)</f>
        <v>0</v>
      </c>
      <c r="G16" s="33">
        <f>F16*F11</f>
        <v>0</v>
      </c>
    </row>
    <row r="17" spans="1:7" x14ac:dyDescent="0.25">
      <c r="A17" s="53" t="s">
        <v>48</v>
      </c>
      <c r="B17" s="29" t="s">
        <v>90</v>
      </c>
      <c r="C17" s="13">
        <f>SUM(C15:C16)</f>
        <v>1000</v>
      </c>
      <c r="D17" s="34">
        <f>C17*C11</f>
        <v>10000</v>
      </c>
      <c r="E17" s="29" t="s">
        <v>90</v>
      </c>
      <c r="F17" s="13">
        <f>SUM(F15:F16)</f>
        <v>1000</v>
      </c>
      <c r="G17" s="34">
        <f>F17*F11</f>
        <v>10000</v>
      </c>
    </row>
    <row r="18" spans="1:7" x14ac:dyDescent="0.25">
      <c r="A18" s="52"/>
      <c r="B18" s="35"/>
      <c r="C18" s="66"/>
      <c r="D18" s="66"/>
      <c r="E18" s="39"/>
      <c r="F18" s="12"/>
      <c r="G18" s="28"/>
    </row>
    <row r="19" spans="1:7" ht="15.75" thickBot="1" x14ac:dyDescent="0.3">
      <c r="A19" s="51"/>
      <c r="B19" s="27"/>
      <c r="C19" s="12"/>
      <c r="D19" s="33"/>
      <c r="E19" s="39"/>
      <c r="F19" s="12"/>
      <c r="G19" s="28"/>
    </row>
    <row r="20" spans="1:7" ht="19.5" thickBot="1" x14ac:dyDescent="0.3">
      <c r="A20" s="54" t="s">
        <v>103</v>
      </c>
      <c r="B20" s="219" t="s">
        <v>8</v>
      </c>
      <c r="C20" s="220"/>
      <c r="D20" s="221"/>
      <c r="E20" s="219" t="s">
        <v>9</v>
      </c>
      <c r="F20" s="220"/>
      <c r="G20" s="221"/>
    </row>
    <row r="21" spans="1:7" x14ac:dyDescent="0.25">
      <c r="A21" s="55" t="s">
        <v>5</v>
      </c>
      <c r="B21" s="75" t="s">
        <v>6</v>
      </c>
      <c r="C21" s="76" t="s">
        <v>7</v>
      </c>
      <c r="D21" s="77" t="s">
        <v>10</v>
      </c>
      <c r="E21" s="75" t="s">
        <v>6</v>
      </c>
      <c r="F21" s="76" t="s">
        <v>7</v>
      </c>
      <c r="G21" s="77" t="s">
        <v>10</v>
      </c>
    </row>
    <row r="22" spans="1:7" x14ac:dyDescent="0.25">
      <c r="A22" s="56" t="s">
        <v>80</v>
      </c>
      <c r="B22" s="73"/>
      <c r="C22" s="16"/>
      <c r="D22" s="36"/>
      <c r="E22" s="72"/>
      <c r="F22" s="16"/>
      <c r="G22" s="36"/>
    </row>
    <row r="23" spans="1:7" x14ac:dyDescent="0.25">
      <c r="A23" s="68" t="s">
        <v>95</v>
      </c>
      <c r="B23" s="72"/>
      <c r="C23" s="16"/>
      <c r="D23" s="36"/>
      <c r="E23" s="72"/>
      <c r="F23" s="16"/>
      <c r="G23" s="36"/>
    </row>
    <row r="24" spans="1:7" x14ac:dyDescent="0.25">
      <c r="A24" s="68" t="s">
        <v>81</v>
      </c>
      <c r="B24" s="72"/>
      <c r="C24" s="16"/>
      <c r="D24" s="36"/>
      <c r="E24" s="72"/>
      <c r="F24" s="16"/>
      <c r="G24" s="36"/>
    </row>
    <row r="25" spans="1:7" x14ac:dyDescent="0.25">
      <c r="A25" s="57" t="s">
        <v>15</v>
      </c>
      <c r="B25" s="72"/>
      <c r="C25" s="16"/>
      <c r="D25" s="36"/>
      <c r="E25" s="72"/>
      <c r="F25" s="16"/>
      <c r="G25" s="36"/>
    </row>
    <row r="26" spans="1:7" x14ac:dyDescent="0.25">
      <c r="A26" s="57" t="s">
        <v>16</v>
      </c>
      <c r="B26" s="72"/>
      <c r="C26" s="16"/>
      <c r="D26" s="36"/>
      <c r="E26" s="72"/>
      <c r="F26" s="16"/>
      <c r="G26" s="36"/>
    </row>
    <row r="27" spans="1:7" x14ac:dyDescent="0.25">
      <c r="A27" s="58" t="s">
        <v>17</v>
      </c>
      <c r="B27" s="72"/>
      <c r="C27" s="16"/>
      <c r="D27" s="36"/>
      <c r="E27" s="72"/>
      <c r="F27" s="16"/>
      <c r="G27" s="36"/>
    </row>
    <row r="28" spans="1:7" x14ac:dyDescent="0.25">
      <c r="A28" s="58" t="s">
        <v>18</v>
      </c>
      <c r="B28" s="72"/>
      <c r="C28" s="16"/>
      <c r="D28" s="36"/>
      <c r="E28" s="72"/>
      <c r="F28" s="16"/>
      <c r="G28" s="36"/>
    </row>
    <row r="29" spans="1:7" x14ac:dyDescent="0.25">
      <c r="A29" s="58" t="s">
        <v>19</v>
      </c>
      <c r="B29" s="72"/>
      <c r="C29" s="16"/>
      <c r="D29" s="36"/>
      <c r="E29" s="72"/>
      <c r="F29" s="16"/>
      <c r="G29" s="36"/>
    </row>
    <row r="30" spans="1:7" x14ac:dyDescent="0.25">
      <c r="A30" s="57" t="s">
        <v>20</v>
      </c>
      <c r="B30" s="72"/>
      <c r="C30" s="16"/>
      <c r="D30" s="36"/>
      <c r="E30" s="72"/>
      <c r="F30" s="16"/>
      <c r="G30" s="36"/>
    </row>
    <row r="31" spans="1:7" x14ac:dyDescent="0.25">
      <c r="A31" s="56" t="s">
        <v>21</v>
      </c>
      <c r="B31" s="72"/>
      <c r="C31" s="16"/>
      <c r="D31" s="36"/>
      <c r="E31" s="72"/>
      <c r="F31" s="16"/>
      <c r="G31" s="36"/>
    </row>
    <row r="32" spans="1:7" x14ac:dyDescent="0.25">
      <c r="A32" s="56" t="s">
        <v>22</v>
      </c>
      <c r="B32" s="72"/>
      <c r="C32" s="16"/>
      <c r="D32" s="36"/>
      <c r="E32" s="72"/>
      <c r="F32" s="16"/>
      <c r="G32" s="36"/>
    </row>
    <row r="33" spans="1:9" x14ac:dyDescent="0.25">
      <c r="A33" s="56" t="s">
        <v>23</v>
      </c>
      <c r="B33" s="72"/>
      <c r="C33" s="16"/>
      <c r="D33" s="36"/>
      <c r="E33" s="72"/>
      <c r="F33" s="16"/>
      <c r="G33" s="36"/>
    </row>
    <row r="34" spans="1:9" x14ac:dyDescent="0.25">
      <c r="A34" s="56" t="s">
        <v>24</v>
      </c>
      <c r="B34" s="72"/>
      <c r="C34" s="16"/>
      <c r="D34" s="36"/>
      <c r="E34" s="72"/>
      <c r="F34" s="16"/>
      <c r="G34" s="36"/>
    </row>
    <row r="35" spans="1:9" x14ac:dyDescent="0.25">
      <c r="A35" s="59"/>
      <c r="B35" s="72"/>
      <c r="C35" s="16"/>
      <c r="D35" s="36"/>
      <c r="E35" s="72"/>
      <c r="F35" s="16"/>
      <c r="G35" s="36"/>
    </row>
    <row r="36" spans="1:9" x14ac:dyDescent="0.25">
      <c r="A36" s="59"/>
      <c r="B36" s="72"/>
      <c r="C36" s="16"/>
      <c r="D36" s="36"/>
      <c r="E36" s="72"/>
      <c r="F36" s="16"/>
      <c r="G36" s="36"/>
    </row>
    <row r="37" spans="1:9" x14ac:dyDescent="0.25">
      <c r="A37" s="61" t="s">
        <v>167</v>
      </c>
      <c r="B37" s="37"/>
      <c r="C37" s="71">
        <f>SUM(C22:C36)</f>
        <v>0</v>
      </c>
      <c r="D37" s="74">
        <f>SUM(D22:D36)</f>
        <v>0</v>
      </c>
      <c r="E37" s="40"/>
      <c r="F37" s="71">
        <f>SUM(F22:F36)</f>
        <v>0</v>
      </c>
      <c r="G37" s="74">
        <f>SUM(G22:G36)</f>
        <v>0</v>
      </c>
    </row>
    <row r="38" spans="1:9" x14ac:dyDescent="0.25">
      <c r="A38" s="61" t="s">
        <v>166</v>
      </c>
      <c r="B38" s="29"/>
      <c r="C38" s="44">
        <f>D14</f>
        <v>1300</v>
      </c>
      <c r="D38" s="47">
        <f>D14</f>
        <v>1300</v>
      </c>
      <c r="E38" s="41"/>
      <c r="F38" s="44">
        <f>G14</f>
        <v>1300</v>
      </c>
      <c r="G38" s="47">
        <f>G14</f>
        <v>1300</v>
      </c>
    </row>
    <row r="39" spans="1:9" x14ac:dyDescent="0.25">
      <c r="A39" s="61" t="s">
        <v>161</v>
      </c>
      <c r="B39" s="29"/>
      <c r="C39" s="44">
        <f>MAX(0,C37-C38)</f>
        <v>0</v>
      </c>
      <c r="D39" s="47">
        <f>MAX(0,D37-D38)</f>
        <v>0</v>
      </c>
      <c r="E39" s="41"/>
      <c r="F39" s="44">
        <f>MAX(0,F37-F38)</f>
        <v>0</v>
      </c>
      <c r="G39" s="47">
        <f>MAX(0,G37-G38)</f>
        <v>0</v>
      </c>
    </row>
    <row r="40" spans="1:9" x14ac:dyDescent="0.25">
      <c r="A40" s="60" t="s">
        <v>162</v>
      </c>
      <c r="B40" s="29" t="s">
        <v>91</v>
      </c>
      <c r="C40" s="44">
        <f>C39/C11</f>
        <v>0</v>
      </c>
      <c r="D40" s="47">
        <f>D39/C11</f>
        <v>0</v>
      </c>
      <c r="E40" s="29" t="s">
        <v>91</v>
      </c>
      <c r="F40" s="44">
        <f>F39/F11</f>
        <v>0</v>
      </c>
      <c r="G40" s="47">
        <f>G39/F11</f>
        <v>0</v>
      </c>
    </row>
    <row r="41" spans="1:9" x14ac:dyDescent="0.25">
      <c r="A41" s="61"/>
      <c r="B41" s="29"/>
      <c r="C41" s="42" t="s">
        <v>101</v>
      </c>
      <c r="D41" s="45" t="s">
        <v>102</v>
      </c>
      <c r="E41" s="29"/>
      <c r="F41" s="42" t="s">
        <v>101</v>
      </c>
      <c r="G41" s="45" t="s">
        <v>102</v>
      </c>
    </row>
    <row r="42" spans="1:9" x14ac:dyDescent="0.25">
      <c r="A42" s="51" t="s">
        <v>100</v>
      </c>
      <c r="B42" s="29" t="s">
        <v>92</v>
      </c>
      <c r="C42" s="44">
        <f>IF(C40&gt;C17,C17,C40)</f>
        <v>0</v>
      </c>
      <c r="D42" s="44">
        <f>IF(D40&gt;C17,C17,D40)</f>
        <v>0</v>
      </c>
      <c r="E42" s="78" t="s">
        <v>92</v>
      </c>
      <c r="F42" s="44">
        <f>IF(F40&gt;F17,F17,F40)</f>
        <v>0</v>
      </c>
      <c r="G42" s="47">
        <f>IF(G40&gt;F17,F17,G40)</f>
        <v>0</v>
      </c>
      <c r="I42" s="10"/>
    </row>
    <row r="43" spans="1:9" x14ac:dyDescent="0.25">
      <c r="A43" s="62" t="s">
        <v>126</v>
      </c>
      <c r="B43" s="29" t="s">
        <v>121</v>
      </c>
      <c r="C43" s="43">
        <f>C42*C11</f>
        <v>0</v>
      </c>
      <c r="D43" s="43">
        <f>D42*C11</f>
        <v>0</v>
      </c>
      <c r="E43" s="78" t="s">
        <v>121</v>
      </c>
      <c r="F43" s="43">
        <f>F42*F11</f>
        <v>0</v>
      </c>
      <c r="G43" s="46">
        <f>G42*F11</f>
        <v>0</v>
      </c>
      <c r="H43" s="5"/>
      <c r="I43" s="5"/>
    </row>
    <row r="44" spans="1:9" x14ac:dyDescent="0.25">
      <c r="A44" s="51" t="s">
        <v>142</v>
      </c>
      <c r="B44" s="27"/>
      <c r="C44" s="44" t="str">
        <f>IF(C37-D13&lt;0,"No supera cost elegible màxim",C37-C43)</f>
        <v>No supera cost elegible màxim</v>
      </c>
      <c r="D44" s="47" t="str">
        <f>IF(D37-D13&lt;0,"No supera cost elegible màxim",D37-D43)</f>
        <v>No supera cost elegible màxim</v>
      </c>
      <c r="E44" s="41"/>
      <c r="F44" s="44" t="str">
        <f>IF(F37-G13&lt;0,"No supera cost elegible màxim",F37-F43)</f>
        <v>No supera cost elegible màxim</v>
      </c>
      <c r="G44" s="47" t="str">
        <f>IF(G37-G13&lt;0,"No supera cost elegible màxim",G37-G43)</f>
        <v>No supera cost elegible màxim</v>
      </c>
    </row>
    <row r="45" spans="1:9" ht="15.75" thickBot="1" x14ac:dyDescent="0.3">
      <c r="A45" s="63" t="s">
        <v>47</v>
      </c>
      <c r="B45" s="38">
        <f>C6</f>
        <v>0.7</v>
      </c>
      <c r="C45" s="48">
        <f>IF(B7="SI",IF(C43*C6&gt;25000,25000,C43*C6),IF(C43*C6&gt;100000,100000,C43*C6))</f>
        <v>0</v>
      </c>
      <c r="D45" s="49">
        <f>IF(B7="SI",IF(D43*C6&gt;25000,25000,D43*C6),IF(D43*C6&gt;100000,100000,D43*C6))</f>
        <v>0</v>
      </c>
      <c r="E45" s="38">
        <f>C6</f>
        <v>0.7</v>
      </c>
      <c r="F45" s="48">
        <f>IF(B7="SI",IF(F43*C6&gt;25000,25000,F43*C6),IF(F43*C6&gt;100000,100000,F43*C6))</f>
        <v>0</v>
      </c>
      <c r="G45" s="49">
        <f>IF(B7="SI",IF(G43*C6&gt;25000,25000,G43*C6),IF(G43*C6&gt;100000,100000,G43*C6))</f>
        <v>0</v>
      </c>
    </row>
    <row r="46" spans="1:9" x14ac:dyDescent="0.25">
      <c r="G46" s="7"/>
    </row>
    <row r="47" spans="1:9" ht="60" x14ac:dyDescent="0.25">
      <c r="A47" s="6" t="s">
        <v>116</v>
      </c>
      <c r="G47" s="7"/>
    </row>
    <row r="48" spans="1:9" x14ac:dyDescent="0.25">
      <c r="A48" s="6"/>
      <c r="G48" s="7"/>
    </row>
    <row r="49" spans="1:9" x14ac:dyDescent="0.25">
      <c r="A49" s="15" t="s">
        <v>50</v>
      </c>
      <c r="B49"/>
      <c r="C49"/>
      <c r="D49"/>
      <c r="E49"/>
      <c r="F49" s="7"/>
      <c r="G49" s="7"/>
    </row>
    <row r="50" spans="1:9" x14ac:dyDescent="0.25">
      <c r="A50"/>
      <c r="B50"/>
      <c r="C50"/>
      <c r="D50"/>
      <c r="E50"/>
    </row>
    <row r="51" spans="1:9" x14ac:dyDescent="0.25">
      <c r="A51" s="1" t="s">
        <v>85</v>
      </c>
      <c r="B51"/>
      <c r="C51"/>
      <c r="D51"/>
      <c r="E51"/>
      <c r="I51" s="8"/>
    </row>
    <row r="52" spans="1:9" x14ac:dyDescent="0.25">
      <c r="A52" s="21" t="s">
        <v>30</v>
      </c>
      <c r="B52" s="21" t="s">
        <v>99</v>
      </c>
      <c r="C52" s="21" t="s">
        <v>98</v>
      </c>
      <c r="D52" s="21" t="s">
        <v>82</v>
      </c>
      <c r="E52" s="21" t="s">
        <v>83</v>
      </c>
    </row>
    <row r="53" spans="1:9" x14ac:dyDescent="0.25">
      <c r="A53" s="22" t="s">
        <v>84</v>
      </c>
      <c r="B53" s="23">
        <v>1130</v>
      </c>
      <c r="C53" s="11">
        <v>130</v>
      </c>
      <c r="D53" s="23">
        <v>1000</v>
      </c>
      <c r="E53" s="23">
        <v>0</v>
      </c>
      <c r="I53" s="8"/>
    </row>
    <row r="54" spans="1:9" x14ac:dyDescent="0.25">
      <c r="A54" s="67" t="s">
        <v>97</v>
      </c>
      <c r="B54" s="23">
        <v>1580</v>
      </c>
      <c r="C54" s="11">
        <v>130</v>
      </c>
      <c r="D54" s="23">
        <v>1000</v>
      </c>
      <c r="E54" s="23">
        <v>450</v>
      </c>
    </row>
    <row r="55" spans="1:9" x14ac:dyDescent="0.25">
      <c r="A55" s="6"/>
      <c r="D55" s="8"/>
      <c r="E55" s="8"/>
    </row>
    <row r="56" spans="1:9" x14ac:dyDescent="0.25">
      <c r="A56" s="4" t="s">
        <v>86</v>
      </c>
      <c r="D56" s="8"/>
      <c r="E56" s="8"/>
    </row>
    <row r="57" spans="1:9" x14ac:dyDescent="0.25">
      <c r="A57" s="21" t="s">
        <v>0</v>
      </c>
      <c r="B57" s="21" t="s">
        <v>1</v>
      </c>
      <c r="D57" s="8"/>
      <c r="E57" s="8"/>
    </row>
    <row r="58" spans="1:9" x14ac:dyDescent="0.25">
      <c r="A58" s="11" t="s">
        <v>2</v>
      </c>
      <c r="B58" s="24">
        <v>0.4</v>
      </c>
      <c r="D58" s="8"/>
      <c r="E58" s="8"/>
    </row>
    <row r="59" spans="1:9" x14ac:dyDescent="0.25">
      <c r="A59" s="11" t="s">
        <v>11</v>
      </c>
      <c r="B59" s="24">
        <v>0.5</v>
      </c>
      <c r="C59"/>
      <c r="D59"/>
      <c r="E59"/>
    </row>
    <row r="60" spans="1:9" x14ac:dyDescent="0.25">
      <c r="A60" s="11" t="s">
        <v>12</v>
      </c>
      <c r="B60" s="24">
        <v>0.6</v>
      </c>
      <c r="C60"/>
      <c r="D60"/>
      <c r="E60"/>
    </row>
    <row r="61" spans="1:9" x14ac:dyDescent="0.25">
      <c r="A61" s="11" t="s">
        <v>133</v>
      </c>
      <c r="B61" s="24">
        <v>0.7</v>
      </c>
      <c r="C61"/>
      <c r="D61"/>
      <c r="E61"/>
    </row>
  </sheetData>
  <sheetProtection algorithmName="SHA-512" hashValue="FlXfg6qm27beoa2Zf/JN0NPSJtAm6sIEmRLX0FQ1/f6ROjFPJ1ccBTvLAeUfNpKwG7ea1EPoE/0TD6YGHDfjBQ==" saltValue="T8BQ+UPsaHKDigB11hpu0w==" spinCount="100000" sheet="1" objects="1" scenarios="1" selectLockedCells="1"/>
  <mergeCells count="4">
    <mergeCell ref="B9:D9"/>
    <mergeCell ref="E9:G9"/>
    <mergeCell ref="B20:D20"/>
    <mergeCell ref="E20:G20"/>
  </mergeCells>
  <dataValidations count="8">
    <dataValidation type="decimal" operator="lessThanOrEqual" allowBlank="1" showInputMessage="1" showErrorMessage="1" errorTitle="Excés" error="Cost unitari complementari subvencionable màxim." sqref="D28" xr:uid="{00000000-0002-0000-0200-000000000000}">
      <formula1>D15</formula1>
    </dataValidation>
    <dataValidation type="decimal" operator="lessThanOrEqual" allowBlank="1" showInputMessage="1" showErrorMessage="1" errorTitle="Excés" error="Cost unitari màxim subvencionable nous sistemes de distribució i elements terminals." sqref="C18" xr:uid="{00000000-0002-0000-0200-000001000000}">
      <formula1>D16</formula1>
    </dataValidation>
    <dataValidation type="decimal" operator="lessThanOrEqual" allowBlank="1" showInputMessage="1" showErrorMessage="1" errorTitle="Excés" error="Cost unitari màxim subvencionable nous sistemes de distribució i elements terminals." sqref="D18" xr:uid="{00000000-0002-0000-0200-000002000000}">
      <formula1>D16</formula1>
    </dataValidation>
    <dataValidation type="list" allowBlank="1" showInputMessage="1" showErrorMessage="1" sqref="B7" xr:uid="{00000000-0002-0000-0200-000003000000}">
      <formula1>"SI,NO"</formula1>
    </dataValidation>
    <dataValidation operator="lessThanOrEqual" allowBlank="1" showInputMessage="1" showErrorMessage="1" sqref="D17 G17" xr:uid="{00000000-0002-0000-0200-000004000000}"/>
    <dataValidation type="list" allowBlank="1" showInputMessage="1" showErrorMessage="1" sqref="F10 C10" xr:uid="{00000000-0002-0000-0200-000005000000}">
      <formula1>$A$53:$A$54</formula1>
    </dataValidation>
    <dataValidation type="list" allowBlank="1" showInputMessage="1" showErrorMessage="1" sqref="C5" xr:uid="{00000000-0002-0000-0200-000006000000}">
      <formula1>$A$58:$A$61</formula1>
    </dataValidation>
    <dataValidation type="decimal" operator="greaterThan" allowBlank="1" showInputMessage="1" showErrorMessage="1" sqref="C11 F11" xr:uid="{151B7E0E-2AF0-496E-9DDF-4FA8FAE50207}">
      <formula1>0</formula1>
    </dataValidation>
  </dataValidations>
  <pageMargins left="0.7" right="0.7" top="0.75" bottom="0.75" header="0.3" footer="0.3"/>
  <pageSetup paperSize="9" scale="67" orientation="portrait" r:id="rId1"/>
  <colBreaks count="1" manualBreakCount="1">
    <brk id="7" max="3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6"/>
  <sheetViews>
    <sheetView topLeftCell="A7" zoomScaleNormal="100" workbookViewId="0">
      <selection activeCell="C19" sqref="C19"/>
    </sheetView>
  </sheetViews>
  <sheetFormatPr baseColWidth="10" defaultColWidth="11.42578125" defaultRowHeight="15" x14ac:dyDescent="0.25"/>
  <cols>
    <col min="1" max="1" width="76.5703125" style="2" bestFit="1" customWidth="1"/>
    <col min="2" max="2" width="9.42578125" style="2" bestFit="1" customWidth="1"/>
    <col min="3" max="3" width="42.7109375" style="2" customWidth="1"/>
    <col min="4" max="4" width="38.42578125" style="2" customWidth="1"/>
    <col min="5" max="5" width="9.42578125" style="2" bestFit="1" customWidth="1"/>
    <col min="6" max="6" width="43.7109375" style="2" bestFit="1" customWidth="1"/>
    <col min="7" max="7" width="35.7109375" style="2" bestFit="1" customWidth="1"/>
    <col min="8" max="8" width="41.7109375" style="2" customWidth="1"/>
    <col min="9" max="11" width="11.42578125" style="2"/>
    <col min="12" max="12" width="42" style="2" customWidth="1"/>
    <col min="13" max="13" width="18.140625" style="2" customWidth="1"/>
    <col min="14" max="14" width="11.42578125" style="2"/>
    <col min="15" max="15" width="39" style="2" bestFit="1" customWidth="1"/>
    <col min="16" max="16" width="3" style="2" bestFit="1" customWidth="1"/>
    <col min="17" max="16384" width="11.42578125" style="2"/>
  </cols>
  <sheetData>
    <row r="1" spans="1:7" ht="26.25" x14ac:dyDescent="0.25">
      <c r="A1" s="9" t="s">
        <v>3</v>
      </c>
      <c r="B1" s="9"/>
      <c r="C1" s="9" t="s">
        <v>74</v>
      </c>
      <c r="E1" s="9"/>
      <c r="F1" s="9"/>
    </row>
    <row r="2" spans="1:7" ht="26.25" x14ac:dyDescent="0.25">
      <c r="B2" s="9"/>
      <c r="E2" s="9"/>
      <c r="F2" s="9"/>
    </row>
    <row r="3" spans="1:7" ht="23.25" x14ac:dyDescent="0.25">
      <c r="A3" s="80" t="s">
        <v>104</v>
      </c>
    </row>
    <row r="4" spans="1:7" ht="23.25" x14ac:dyDescent="0.25">
      <c r="A4" s="80"/>
    </row>
    <row r="5" spans="1:7" x14ac:dyDescent="0.25">
      <c r="A5" s="19" t="s">
        <v>52</v>
      </c>
      <c r="B5" s="20"/>
      <c r="C5" s="79" t="s">
        <v>133</v>
      </c>
    </row>
    <row r="6" spans="1:7" x14ac:dyDescent="0.25">
      <c r="A6" s="19" t="s">
        <v>53</v>
      </c>
      <c r="B6" s="20"/>
      <c r="C6" s="18">
        <f>VLOOKUP(C5,'Programa 3'!$A$53:$B56,2,FALSE)</f>
        <v>0.45</v>
      </c>
      <c r="E6" s="3"/>
      <c r="F6" s="3"/>
    </row>
    <row r="7" spans="1:7" x14ac:dyDescent="0.25">
      <c r="B7" s="83"/>
      <c r="C7" s="14"/>
      <c r="E7" s="3"/>
      <c r="F7" s="3"/>
    </row>
    <row r="8" spans="1:7" ht="15.75" thickBot="1" x14ac:dyDescent="0.3">
      <c r="C8" s="14"/>
      <c r="E8" s="3"/>
      <c r="F8" s="3"/>
    </row>
    <row r="9" spans="1:7" ht="19.5" thickBot="1" x14ac:dyDescent="0.3">
      <c r="A9" s="50"/>
      <c r="B9" s="216" t="s">
        <v>8</v>
      </c>
      <c r="C9" s="217"/>
      <c r="D9" s="218"/>
      <c r="E9" s="216" t="s">
        <v>9</v>
      </c>
      <c r="F9" s="217"/>
      <c r="G9" s="218"/>
    </row>
    <row r="10" spans="1:7" x14ac:dyDescent="0.25">
      <c r="A10" s="51" t="s">
        <v>108</v>
      </c>
      <c r="B10" s="27"/>
      <c r="C10" s="202" t="str">
        <f>IF($C$12&lt;=10,$A$49,IF($C$12&lt;=100,$A$48,$A$47))</f>
        <v>Capacitat ≤ 10 kWh</v>
      </c>
      <c r="D10" s="28"/>
      <c r="E10" s="85"/>
      <c r="F10" s="203" t="str">
        <f>IF($F$12&lt;=10,$A$49,IF($F$12&lt;=100,$A$48,$A$47))</f>
        <v>Capacitat ≤ 10 kWh</v>
      </c>
      <c r="G10" s="87"/>
    </row>
    <row r="11" spans="1:7" x14ac:dyDescent="0.25">
      <c r="A11" s="51" t="s">
        <v>123</v>
      </c>
      <c r="B11" s="29" t="s">
        <v>124</v>
      </c>
      <c r="C11" s="70">
        <v>10</v>
      </c>
      <c r="D11" s="28"/>
      <c r="E11" s="82" t="s">
        <v>124</v>
      </c>
      <c r="F11" s="70">
        <v>10</v>
      </c>
      <c r="G11" s="28"/>
    </row>
    <row r="12" spans="1:7" x14ac:dyDescent="0.25">
      <c r="A12" s="51" t="s">
        <v>113</v>
      </c>
      <c r="B12" s="29" t="s">
        <v>112</v>
      </c>
      <c r="C12" s="70">
        <v>5</v>
      </c>
      <c r="D12" s="84"/>
      <c r="E12" s="29" t="s">
        <v>112</v>
      </c>
      <c r="F12" s="70">
        <v>10</v>
      </c>
      <c r="G12" s="84"/>
    </row>
    <row r="13" spans="1:7" x14ac:dyDescent="0.25">
      <c r="A13" s="51"/>
      <c r="B13" s="27"/>
      <c r="C13" s="5" t="s">
        <v>165</v>
      </c>
      <c r="D13" s="31" t="s">
        <v>36</v>
      </c>
      <c r="E13" s="32"/>
      <c r="F13" s="5" t="s">
        <v>165</v>
      </c>
      <c r="G13" s="31" t="s">
        <v>36</v>
      </c>
    </row>
    <row r="14" spans="1:7" x14ac:dyDescent="0.25">
      <c r="A14" s="62" t="s">
        <v>134</v>
      </c>
      <c r="B14" s="29" t="s">
        <v>107</v>
      </c>
      <c r="C14" s="81">
        <f>IF(D12="Capacitat incorrecta",0,VLOOKUP(C10,$A$47:$B$49,2,FALSE))</f>
        <v>910</v>
      </c>
      <c r="D14" s="34">
        <f>IF(C12&gt;200,C14*200,C14*C12)</f>
        <v>4550</v>
      </c>
      <c r="E14" s="78" t="s">
        <v>107</v>
      </c>
      <c r="F14" s="81">
        <f>IF(G12="Capacitat incorrecta",0,VLOOKUP(F10,$A$47:$E$49,2,FALSE))</f>
        <v>910</v>
      </c>
      <c r="G14" s="34">
        <f>IF(F12&gt;200,F14*200,F14*F12)</f>
        <v>9100</v>
      </c>
    </row>
    <row r="15" spans="1:7" x14ac:dyDescent="0.25">
      <c r="A15" s="52"/>
      <c r="B15" s="35"/>
      <c r="C15" s="6"/>
      <c r="D15" s="33"/>
      <c r="E15" s="39"/>
      <c r="F15" s="12"/>
      <c r="G15" s="28"/>
    </row>
    <row r="16" spans="1:7" ht="15.75" thickBot="1" x14ac:dyDescent="0.3">
      <c r="A16" s="51"/>
      <c r="B16" s="27"/>
      <c r="C16" s="12"/>
      <c r="D16" s="33"/>
      <c r="E16" s="39"/>
      <c r="F16" s="12"/>
      <c r="G16" s="28"/>
    </row>
    <row r="17" spans="1:7" ht="19.5" thickBot="1" x14ac:dyDescent="0.3">
      <c r="A17" s="54" t="s">
        <v>114</v>
      </c>
      <c r="B17" s="219" t="s">
        <v>8</v>
      </c>
      <c r="C17" s="220"/>
      <c r="D17" s="221"/>
      <c r="E17" s="219" t="s">
        <v>9</v>
      </c>
      <c r="F17" s="220"/>
      <c r="G17" s="221"/>
    </row>
    <row r="18" spans="1:7" x14ac:dyDescent="0.25">
      <c r="A18" s="55" t="s">
        <v>5</v>
      </c>
      <c r="B18" s="75" t="s">
        <v>6</v>
      </c>
      <c r="C18" s="76" t="s">
        <v>7</v>
      </c>
      <c r="D18" s="77" t="s">
        <v>10</v>
      </c>
      <c r="E18" s="75" t="s">
        <v>6</v>
      </c>
      <c r="F18" s="76" t="s">
        <v>7</v>
      </c>
      <c r="G18" s="77" t="s">
        <v>10</v>
      </c>
    </row>
    <row r="19" spans="1:7" x14ac:dyDescent="0.25">
      <c r="A19" s="56" t="s">
        <v>115</v>
      </c>
      <c r="B19" s="73"/>
      <c r="C19" s="16"/>
      <c r="D19" s="36"/>
      <c r="E19" s="72"/>
      <c r="F19" s="16"/>
      <c r="G19" s="36"/>
    </row>
    <row r="20" spans="1:7" x14ac:dyDescent="0.25">
      <c r="A20" s="57" t="s">
        <v>14</v>
      </c>
      <c r="B20" s="72"/>
      <c r="C20" s="16"/>
      <c r="D20" s="36"/>
      <c r="E20" s="72"/>
      <c r="F20" s="16"/>
      <c r="G20" s="36"/>
    </row>
    <row r="21" spans="1:7" x14ac:dyDescent="0.25">
      <c r="A21" s="57" t="s">
        <v>15</v>
      </c>
      <c r="B21" s="72"/>
      <c r="C21" s="16"/>
      <c r="D21" s="36"/>
      <c r="E21" s="72"/>
      <c r="F21" s="16"/>
      <c r="G21" s="36"/>
    </row>
    <row r="22" spans="1:7" x14ac:dyDescent="0.25">
      <c r="A22" s="57" t="s">
        <v>16</v>
      </c>
      <c r="B22" s="72"/>
      <c r="C22" s="16"/>
      <c r="D22" s="36"/>
      <c r="E22" s="72"/>
      <c r="F22" s="16"/>
      <c r="G22" s="36"/>
    </row>
    <row r="23" spans="1:7" x14ac:dyDescent="0.25">
      <c r="A23" s="57" t="s">
        <v>17</v>
      </c>
      <c r="B23" s="72"/>
      <c r="C23" s="16"/>
      <c r="D23" s="36"/>
      <c r="E23" s="72"/>
      <c r="F23" s="16"/>
      <c r="G23" s="36"/>
    </row>
    <row r="24" spans="1:7" x14ac:dyDescent="0.25">
      <c r="A24" s="56" t="s">
        <v>18</v>
      </c>
      <c r="B24" s="72"/>
      <c r="C24" s="16"/>
      <c r="D24" s="36"/>
      <c r="E24" s="72"/>
      <c r="F24" s="16"/>
      <c r="G24" s="36"/>
    </row>
    <row r="25" spans="1:7" x14ac:dyDescent="0.25">
      <c r="A25" s="56" t="s">
        <v>19</v>
      </c>
      <c r="B25" s="72"/>
      <c r="C25" s="16"/>
      <c r="D25" s="36"/>
      <c r="E25" s="72"/>
      <c r="F25" s="16"/>
      <c r="G25" s="36"/>
    </row>
    <row r="26" spans="1:7" x14ac:dyDescent="0.25">
      <c r="A26" s="56" t="s">
        <v>20</v>
      </c>
      <c r="B26" s="72"/>
      <c r="C26" s="16"/>
      <c r="D26" s="36"/>
      <c r="E26" s="72"/>
      <c r="F26" s="16"/>
      <c r="G26" s="36"/>
    </row>
    <row r="27" spans="1:7" x14ac:dyDescent="0.25">
      <c r="A27" s="56" t="s">
        <v>21</v>
      </c>
      <c r="B27" s="72"/>
      <c r="C27" s="16"/>
      <c r="D27" s="36"/>
      <c r="E27" s="72"/>
      <c r="F27" s="16"/>
      <c r="G27" s="36"/>
    </row>
    <row r="28" spans="1:7" x14ac:dyDescent="0.25">
      <c r="A28" s="56" t="s">
        <v>22</v>
      </c>
      <c r="B28" s="72"/>
      <c r="C28" s="16"/>
      <c r="D28" s="36"/>
      <c r="E28" s="72"/>
      <c r="F28" s="16"/>
      <c r="G28" s="36"/>
    </row>
    <row r="29" spans="1:7" x14ac:dyDescent="0.25">
      <c r="A29" s="56" t="s">
        <v>23</v>
      </c>
      <c r="B29" s="72"/>
      <c r="C29" s="16"/>
      <c r="D29" s="36"/>
      <c r="E29" s="72"/>
      <c r="F29" s="16"/>
      <c r="G29" s="36"/>
    </row>
    <row r="30" spans="1:7" x14ac:dyDescent="0.25">
      <c r="A30" s="56" t="s">
        <v>24</v>
      </c>
      <c r="B30" s="72"/>
      <c r="C30" s="16"/>
      <c r="D30" s="36"/>
      <c r="E30" s="72"/>
      <c r="F30" s="16"/>
      <c r="G30" s="36"/>
    </row>
    <row r="31" spans="1:7" x14ac:dyDescent="0.25">
      <c r="A31" s="59"/>
      <c r="B31" s="72"/>
      <c r="C31" s="16"/>
      <c r="D31" s="36"/>
      <c r="E31" s="72"/>
      <c r="F31" s="16"/>
      <c r="G31" s="36"/>
    </row>
    <row r="32" spans="1:7" x14ac:dyDescent="0.25">
      <c r="A32" s="59"/>
      <c r="B32" s="72"/>
      <c r="C32" s="16"/>
      <c r="D32" s="36"/>
      <c r="E32" s="72"/>
      <c r="F32" s="16"/>
      <c r="G32" s="36"/>
    </row>
    <row r="33" spans="1:9" x14ac:dyDescent="0.25">
      <c r="A33" s="61" t="s">
        <v>161</v>
      </c>
      <c r="B33" s="37"/>
      <c r="C33" s="71">
        <f>SUM(C19:C32)</f>
        <v>0</v>
      </c>
      <c r="D33" s="74">
        <f>SUM(D19:D32)</f>
        <v>0</v>
      </c>
      <c r="E33" s="40"/>
      <c r="F33" s="71">
        <f>SUM(F19:F32)</f>
        <v>0</v>
      </c>
      <c r="G33" s="74">
        <f>SUM(G19:G32)</f>
        <v>0</v>
      </c>
    </row>
    <row r="34" spans="1:9" x14ac:dyDescent="0.25">
      <c r="A34" s="60" t="s">
        <v>164</v>
      </c>
      <c r="B34" s="29" t="s">
        <v>119</v>
      </c>
      <c r="C34" s="44">
        <f>C33/C12</f>
        <v>0</v>
      </c>
      <c r="D34" s="47">
        <f>D33/C12</f>
        <v>0</v>
      </c>
      <c r="E34" s="29" t="s">
        <v>119</v>
      </c>
      <c r="F34" s="44">
        <f>F33/F12</f>
        <v>0</v>
      </c>
      <c r="G34" s="47">
        <f>G33/F12</f>
        <v>0</v>
      </c>
    </row>
    <row r="35" spans="1:9" x14ac:dyDescent="0.25">
      <c r="A35" s="61"/>
      <c r="B35" s="29"/>
      <c r="C35" s="42" t="s">
        <v>101</v>
      </c>
      <c r="D35" s="45" t="s">
        <v>102</v>
      </c>
      <c r="E35" s="29"/>
      <c r="F35" s="42" t="s">
        <v>101</v>
      </c>
      <c r="G35" s="45" t="s">
        <v>102</v>
      </c>
    </row>
    <row r="36" spans="1:9" x14ac:dyDescent="0.25">
      <c r="A36" s="51" t="s">
        <v>163</v>
      </c>
      <c r="B36" s="29" t="s">
        <v>118</v>
      </c>
      <c r="C36" s="44">
        <f>IF(C34&gt;C14,C14,C34)</f>
        <v>0</v>
      </c>
      <c r="D36" s="44">
        <f>IF(D34&gt;C14,C14,D34)</f>
        <v>0</v>
      </c>
      <c r="E36" s="78" t="s">
        <v>118</v>
      </c>
      <c r="F36" s="44">
        <f>IF(F34&gt;F14,F14,F34)</f>
        <v>0</v>
      </c>
      <c r="G36" s="47">
        <f>IF(G34&gt;F14,F14,G34)</f>
        <v>0</v>
      </c>
      <c r="I36" s="10"/>
    </row>
    <row r="37" spans="1:9" x14ac:dyDescent="0.25">
      <c r="A37" s="62" t="s">
        <v>125</v>
      </c>
      <c r="B37" s="29" t="s">
        <v>120</v>
      </c>
      <c r="C37" s="43">
        <f>IF(C12&gt;200,C36*200,C36*C12)</f>
        <v>0</v>
      </c>
      <c r="D37" s="43">
        <f>IF(C12&gt;200,D36*200,D36*C12)</f>
        <v>0</v>
      </c>
      <c r="E37" s="78" t="s">
        <v>120</v>
      </c>
      <c r="F37" s="43">
        <f>IF(F12&gt;200,F36*200,F36*F12)</f>
        <v>0</v>
      </c>
      <c r="G37" s="46">
        <f>IF(F12&gt;200,G36*200,G36*F12)</f>
        <v>0</v>
      </c>
      <c r="H37" s="5"/>
      <c r="I37" s="5"/>
    </row>
    <row r="38" spans="1:9" x14ac:dyDescent="0.25">
      <c r="A38" s="51" t="s">
        <v>141</v>
      </c>
      <c r="B38" s="27"/>
      <c r="C38" s="44">
        <f>C33-C37</f>
        <v>0</v>
      </c>
      <c r="D38" s="47">
        <f>D33-D37</f>
        <v>0</v>
      </c>
      <c r="E38" s="41"/>
      <c r="F38" s="44">
        <f>F33-F37</f>
        <v>0</v>
      </c>
      <c r="G38" s="47">
        <f>G33-G37</f>
        <v>0</v>
      </c>
    </row>
    <row r="39" spans="1:9" ht="15.75" thickBot="1" x14ac:dyDescent="0.3">
      <c r="A39" s="63" t="s">
        <v>47</v>
      </c>
      <c r="B39" s="38">
        <f>C6</f>
        <v>0.45</v>
      </c>
      <c r="C39" s="48">
        <f>IF(C37*C6&gt;300000,300000,C37*C6)</f>
        <v>0</v>
      </c>
      <c r="D39" s="49">
        <f>IF(D37*C6&gt;300000,300000,D37*C6)</f>
        <v>0</v>
      </c>
      <c r="E39" s="38">
        <f>C6</f>
        <v>0.45</v>
      </c>
      <c r="F39" s="48">
        <f>IF(F37*C6&gt;300000,300000,F37*C6)</f>
        <v>0</v>
      </c>
      <c r="G39" s="49">
        <f>IF(G37*C6&gt;300000,300000,G37*C6)</f>
        <v>0</v>
      </c>
    </row>
    <row r="40" spans="1:9" x14ac:dyDescent="0.25">
      <c r="G40" s="7"/>
    </row>
    <row r="41" spans="1:9" x14ac:dyDescent="0.25">
      <c r="G41" s="7"/>
    </row>
    <row r="42" spans="1:9" x14ac:dyDescent="0.25">
      <c r="F42" s="7"/>
      <c r="G42" s="7"/>
    </row>
    <row r="43" spans="1:9" x14ac:dyDescent="0.25">
      <c r="A43" s="15" t="s">
        <v>50</v>
      </c>
      <c r="B43"/>
      <c r="C43"/>
      <c r="D43"/>
      <c r="E43"/>
      <c r="F43" s="7"/>
      <c r="G43" s="7"/>
    </row>
    <row r="44" spans="1:9" x14ac:dyDescent="0.25">
      <c r="A44"/>
      <c r="B44"/>
      <c r="C44"/>
      <c r="D44"/>
      <c r="E44"/>
    </row>
    <row r="45" spans="1:9" x14ac:dyDescent="0.25">
      <c r="A45" s="1" t="s">
        <v>105</v>
      </c>
      <c r="B45"/>
      <c r="C45"/>
      <c r="D45"/>
      <c r="E45"/>
      <c r="I45" s="8"/>
    </row>
    <row r="46" spans="1:9" x14ac:dyDescent="0.25">
      <c r="A46" s="21" t="s">
        <v>108</v>
      </c>
      <c r="B46" s="21" t="s">
        <v>107</v>
      </c>
      <c r="C46" s="5"/>
      <c r="D46" s="5"/>
      <c r="E46" s="5"/>
    </row>
    <row r="47" spans="1:9" x14ac:dyDescent="0.25">
      <c r="A47" s="22" t="s">
        <v>109</v>
      </c>
      <c r="B47" s="23">
        <v>455</v>
      </c>
      <c r="D47" s="8"/>
      <c r="E47" s="8"/>
      <c r="I47" s="8"/>
    </row>
    <row r="48" spans="1:9" x14ac:dyDescent="0.25">
      <c r="A48" s="22" t="s">
        <v>110</v>
      </c>
      <c r="B48" s="23">
        <v>650</v>
      </c>
      <c r="D48" s="8"/>
      <c r="E48" s="8"/>
    </row>
    <row r="49" spans="1:9" x14ac:dyDescent="0.25">
      <c r="A49" s="22" t="s">
        <v>111</v>
      </c>
      <c r="B49" s="23">
        <v>910</v>
      </c>
      <c r="D49" s="8"/>
      <c r="E49" s="8"/>
      <c r="I49" s="8"/>
    </row>
    <row r="50" spans="1:9" x14ac:dyDescent="0.25">
      <c r="A50" s="6"/>
      <c r="D50" s="8"/>
      <c r="E50" s="8"/>
    </row>
    <row r="51" spans="1:9" x14ac:dyDescent="0.25">
      <c r="A51" s="4" t="s">
        <v>106</v>
      </c>
      <c r="D51" s="8"/>
      <c r="E51" s="8"/>
    </row>
    <row r="52" spans="1:9" x14ac:dyDescent="0.25">
      <c r="A52" s="21" t="s">
        <v>0</v>
      </c>
      <c r="B52" s="21" t="s">
        <v>1</v>
      </c>
      <c r="D52" s="8"/>
      <c r="E52" s="8"/>
    </row>
    <row r="53" spans="1:9" x14ac:dyDescent="0.25">
      <c r="A53" s="11" t="s">
        <v>2</v>
      </c>
      <c r="B53" s="24">
        <v>0.3</v>
      </c>
      <c r="D53" s="8"/>
      <c r="E53" s="8"/>
    </row>
    <row r="54" spans="1:9" x14ac:dyDescent="0.25">
      <c r="A54" s="11" t="s">
        <v>11</v>
      </c>
      <c r="B54" s="24">
        <v>0.35</v>
      </c>
      <c r="C54"/>
      <c r="D54"/>
      <c r="E54"/>
    </row>
    <row r="55" spans="1:9" x14ac:dyDescent="0.25">
      <c r="A55" s="11" t="s">
        <v>12</v>
      </c>
      <c r="B55" s="24">
        <v>0.4</v>
      </c>
      <c r="C55"/>
      <c r="D55"/>
      <c r="E55"/>
    </row>
    <row r="56" spans="1:9" x14ac:dyDescent="0.25">
      <c r="A56" s="11" t="s">
        <v>133</v>
      </c>
      <c r="B56" s="24">
        <v>0.45</v>
      </c>
      <c r="C56"/>
      <c r="D56"/>
      <c r="E56"/>
    </row>
  </sheetData>
  <sheetProtection algorithmName="SHA-512" hashValue="RWTIlp3DlBLI1kv7Cq1wmLZL0rYxnnEIjGMb8nGKRydeWy6MqneCo+Zu/umG6da/lc715V9Hn0/WLQuWq+SlcA==" saltValue="XXfdKLmkeCFM8WGqEEYgBQ==" spinCount="100000" sheet="1" objects="1" scenarios="1" selectLockedCells="1"/>
  <mergeCells count="4">
    <mergeCell ref="B9:D9"/>
    <mergeCell ref="E9:G9"/>
    <mergeCell ref="B17:D17"/>
    <mergeCell ref="E17:G17"/>
  </mergeCells>
  <dataValidations count="4">
    <dataValidation type="decimal" operator="greaterThan" allowBlank="1" showInputMessage="1" showErrorMessage="1" sqref="C12 F12" xr:uid="{00000000-0002-0000-0300-000000000000}">
      <formula1>0</formula1>
    </dataValidation>
    <dataValidation type="list" allowBlank="1" showInputMessage="1" showErrorMessage="1" sqref="F10" xr:uid="{00000000-0002-0000-0300-000002000000}">
      <formula1>$A$47:$A$49</formula1>
    </dataValidation>
    <dataValidation type="list" allowBlank="1" showInputMessage="1" showErrorMessage="1" sqref="C5" xr:uid="{00000000-0002-0000-0300-000003000000}">
      <formula1>$A$53:$A$56</formula1>
    </dataValidation>
    <dataValidation type="decimal" allowBlank="1" showInputMessage="1" showErrorMessage="1" errorTitle="Potència" error="La potència total instal·lada de la instal·lació, incloses les ampliacions, ha de ser menor o igual a 500 kW." sqref="F11 C11" xr:uid="{00000000-0002-0000-0300-000004000000}">
      <formula1>0</formula1>
      <formula2>500</formula2>
    </dataValidation>
  </dataValidations>
  <pageMargins left="0.7" right="0.7" top="0.75" bottom="0.75" header="0.3" footer="0.3"/>
  <pageSetup paperSize="9" scale="67" orientation="portrait" r:id="rId1"/>
  <colBreaks count="1" manualBreakCount="1">
    <brk id="7" max="3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zoomScaleNormal="100" workbookViewId="0">
      <selection activeCell="C15" sqref="C15"/>
    </sheetView>
  </sheetViews>
  <sheetFormatPr baseColWidth="10" defaultColWidth="11.42578125" defaultRowHeight="15" x14ac:dyDescent="0.25"/>
  <cols>
    <col min="1" max="1" width="94.42578125" style="2" bestFit="1" customWidth="1"/>
    <col min="2" max="2" width="9.42578125" style="2" bestFit="1" customWidth="1"/>
    <col min="3" max="3" width="42.7109375" style="2" customWidth="1"/>
    <col min="4" max="4" width="38.42578125" style="2" customWidth="1"/>
    <col min="5" max="5" width="9.42578125" style="2" bestFit="1" customWidth="1"/>
    <col min="6" max="6" width="43.7109375" style="2" bestFit="1" customWidth="1"/>
    <col min="7" max="7" width="35.7109375" style="2" bestFit="1" customWidth="1"/>
    <col min="8" max="8" width="41.7109375" style="2" customWidth="1"/>
    <col min="9" max="11" width="11.42578125" style="2"/>
    <col min="12" max="12" width="42" style="2" customWidth="1"/>
    <col min="13" max="13" width="18.140625" style="2" customWidth="1"/>
    <col min="14" max="14" width="11.42578125" style="2"/>
    <col min="15" max="15" width="39" style="2" bestFit="1" customWidth="1"/>
    <col min="16" max="16" width="3" style="2" bestFit="1" customWidth="1"/>
    <col min="17" max="16384" width="11.42578125" style="2"/>
  </cols>
  <sheetData>
    <row r="1" spans="1:7" ht="26.25" x14ac:dyDescent="0.25">
      <c r="A1" s="9" t="s">
        <v>3</v>
      </c>
      <c r="B1" s="9"/>
      <c r="C1" s="9" t="s">
        <v>74</v>
      </c>
      <c r="E1" s="9"/>
      <c r="F1" s="9"/>
    </row>
    <row r="2" spans="1:7" ht="26.25" x14ac:dyDescent="0.25">
      <c r="B2" s="9"/>
      <c r="E2" s="9"/>
      <c r="F2" s="9"/>
    </row>
    <row r="3" spans="1:7" ht="23.25" x14ac:dyDescent="0.25">
      <c r="A3" s="80" t="s">
        <v>127</v>
      </c>
    </row>
    <row r="4" spans="1:7" ht="23.25" x14ac:dyDescent="0.25">
      <c r="A4" s="80"/>
    </row>
    <row r="5" spans="1:7" x14ac:dyDescent="0.25">
      <c r="A5" s="19" t="s">
        <v>52</v>
      </c>
      <c r="B5" s="20"/>
      <c r="C5" s="79" t="s">
        <v>133</v>
      </c>
    </row>
    <row r="6" spans="1:7" x14ac:dyDescent="0.25">
      <c r="A6" s="19" t="s">
        <v>53</v>
      </c>
      <c r="B6" s="20"/>
      <c r="C6" s="18">
        <f>VLOOKUP(C5,'Programa 4'!$A$41:$B44,2,FALSE)</f>
        <v>0.7</v>
      </c>
      <c r="E6" s="3"/>
      <c r="F6" s="3"/>
    </row>
    <row r="7" spans="1:7" x14ac:dyDescent="0.25">
      <c r="A7" s="19" t="s">
        <v>128</v>
      </c>
      <c r="B7" s="65" t="s">
        <v>93</v>
      </c>
      <c r="C7" s="18" t="str">
        <f>IF(B7="SI",IF(C5=A44,"Ajut limitat a 2.500 €","Tipus d'empresa mal sel·leccionada"),"Ajut limitat a 12.000 €")</f>
        <v>Ajut limitat a 12.000 €</v>
      </c>
      <c r="E7" s="3"/>
      <c r="F7" s="3"/>
    </row>
    <row r="8" spans="1:7" ht="15.75" thickBot="1" x14ac:dyDescent="0.3">
      <c r="C8" s="14"/>
      <c r="E8" s="3"/>
      <c r="F8" s="3"/>
    </row>
    <row r="9" spans="1:7" ht="19.5" thickBot="1" x14ac:dyDescent="0.3">
      <c r="A9" s="50"/>
      <c r="B9" s="216" t="s">
        <v>8</v>
      </c>
      <c r="C9" s="217"/>
      <c r="D9" s="218"/>
      <c r="E9" s="216" t="s">
        <v>9</v>
      </c>
      <c r="F9" s="217"/>
      <c r="G9" s="218"/>
    </row>
    <row r="10" spans="1:7" x14ac:dyDescent="0.25">
      <c r="A10" s="51" t="s">
        <v>130</v>
      </c>
      <c r="B10" s="29" t="s">
        <v>124</v>
      </c>
      <c r="C10" s="70">
        <v>15</v>
      </c>
      <c r="D10" s="28"/>
      <c r="E10" s="82" t="s">
        <v>124</v>
      </c>
      <c r="F10" s="70">
        <v>15</v>
      </c>
      <c r="G10" s="28"/>
    </row>
    <row r="11" spans="1:7" x14ac:dyDescent="0.25">
      <c r="A11" s="52"/>
      <c r="B11" s="35"/>
      <c r="C11" s="6"/>
      <c r="D11" s="33"/>
      <c r="E11" s="39"/>
      <c r="F11" s="12"/>
      <c r="G11" s="28"/>
    </row>
    <row r="12" spans="1:7" ht="15.75" thickBot="1" x14ac:dyDescent="0.3">
      <c r="A12" s="51"/>
      <c r="B12" s="27"/>
      <c r="C12" s="12"/>
      <c r="D12" s="33"/>
      <c r="E12" s="39"/>
      <c r="F12" s="12"/>
      <c r="G12" s="28"/>
    </row>
    <row r="13" spans="1:7" ht="19.5" thickBot="1" x14ac:dyDescent="0.3">
      <c r="A13" s="54" t="s">
        <v>143</v>
      </c>
      <c r="B13" s="219" t="s">
        <v>8</v>
      </c>
      <c r="C13" s="220"/>
      <c r="D13" s="221"/>
      <c r="E13" s="219" t="s">
        <v>9</v>
      </c>
      <c r="F13" s="220"/>
      <c r="G13" s="221"/>
    </row>
    <row r="14" spans="1:7" x14ac:dyDescent="0.25">
      <c r="A14" s="55" t="s">
        <v>5</v>
      </c>
      <c r="B14" s="75" t="s">
        <v>6</v>
      </c>
      <c r="C14" s="76" t="s">
        <v>7</v>
      </c>
      <c r="D14" s="77" t="s">
        <v>10</v>
      </c>
      <c r="E14" s="75" t="s">
        <v>6</v>
      </c>
      <c r="F14" s="76" t="s">
        <v>7</v>
      </c>
      <c r="G14" s="77" t="s">
        <v>10</v>
      </c>
    </row>
    <row r="15" spans="1:7" x14ac:dyDescent="0.25">
      <c r="A15" s="56" t="s">
        <v>129</v>
      </c>
      <c r="B15" s="73"/>
      <c r="C15" s="16"/>
      <c r="D15" s="36"/>
      <c r="E15" s="72"/>
      <c r="F15" s="16"/>
      <c r="G15" s="36"/>
    </row>
    <row r="16" spans="1:7" x14ac:dyDescent="0.25">
      <c r="A16" s="57" t="s">
        <v>15</v>
      </c>
      <c r="B16" s="72"/>
      <c r="C16" s="16"/>
      <c r="D16" s="36"/>
      <c r="E16" s="72"/>
      <c r="F16" s="16"/>
      <c r="G16" s="36"/>
    </row>
    <row r="17" spans="1:9" x14ac:dyDescent="0.25">
      <c r="A17" s="57" t="s">
        <v>16</v>
      </c>
      <c r="B17" s="72"/>
      <c r="C17" s="16"/>
      <c r="D17" s="36"/>
      <c r="E17" s="72"/>
      <c r="F17" s="16"/>
      <c r="G17" s="36"/>
    </row>
    <row r="18" spans="1:9" x14ac:dyDescent="0.25">
      <c r="A18" s="57" t="s">
        <v>17</v>
      </c>
      <c r="B18" s="72"/>
      <c r="C18" s="16"/>
      <c r="D18" s="36"/>
      <c r="E18" s="72"/>
      <c r="F18" s="16"/>
      <c r="G18" s="36"/>
    </row>
    <row r="19" spans="1:9" x14ac:dyDescent="0.25">
      <c r="A19" s="56" t="s">
        <v>18</v>
      </c>
      <c r="B19" s="72"/>
      <c r="C19" s="16"/>
      <c r="D19" s="36"/>
      <c r="E19" s="72"/>
      <c r="F19" s="16"/>
      <c r="G19" s="36"/>
    </row>
    <row r="20" spans="1:9" x14ac:dyDescent="0.25">
      <c r="A20" s="56" t="s">
        <v>19</v>
      </c>
      <c r="B20" s="72"/>
      <c r="C20" s="16"/>
      <c r="D20" s="36"/>
      <c r="E20" s="72"/>
      <c r="F20" s="16"/>
      <c r="G20" s="36"/>
    </row>
    <row r="21" spans="1:9" x14ac:dyDescent="0.25">
      <c r="A21" s="56" t="s">
        <v>20</v>
      </c>
      <c r="B21" s="72"/>
      <c r="C21" s="16"/>
      <c r="D21" s="36"/>
      <c r="E21" s="72"/>
      <c r="F21" s="16"/>
      <c r="G21" s="36"/>
    </row>
    <row r="22" spans="1:9" x14ac:dyDescent="0.25">
      <c r="A22" s="56" t="s">
        <v>21</v>
      </c>
      <c r="B22" s="72"/>
      <c r="C22" s="16"/>
      <c r="D22" s="36"/>
      <c r="E22" s="72"/>
      <c r="F22" s="16"/>
      <c r="G22" s="36"/>
    </row>
    <row r="23" spans="1:9" x14ac:dyDescent="0.25">
      <c r="A23" s="56" t="s">
        <v>22</v>
      </c>
      <c r="B23" s="72"/>
      <c r="C23" s="16"/>
      <c r="D23" s="36"/>
      <c r="E23" s="72"/>
      <c r="F23" s="16"/>
      <c r="G23" s="36"/>
    </row>
    <row r="24" spans="1:9" x14ac:dyDescent="0.25">
      <c r="A24" s="56" t="s">
        <v>23</v>
      </c>
      <c r="B24" s="72"/>
      <c r="C24" s="16"/>
      <c r="D24" s="36"/>
      <c r="E24" s="72"/>
      <c r="F24" s="16"/>
      <c r="G24" s="36"/>
    </row>
    <row r="25" spans="1:9" x14ac:dyDescent="0.25">
      <c r="A25" s="56" t="s">
        <v>24</v>
      </c>
      <c r="B25" s="72"/>
      <c r="C25" s="16"/>
      <c r="D25" s="36"/>
      <c r="E25" s="72"/>
      <c r="F25" s="16"/>
      <c r="G25" s="36"/>
    </row>
    <row r="26" spans="1:9" x14ac:dyDescent="0.25">
      <c r="A26" s="59"/>
      <c r="B26" s="72"/>
      <c r="C26" s="16"/>
      <c r="D26" s="36"/>
      <c r="E26" s="72"/>
      <c r="F26" s="16"/>
      <c r="G26" s="36"/>
    </row>
    <row r="27" spans="1:9" x14ac:dyDescent="0.25">
      <c r="A27" s="59"/>
      <c r="B27" s="72"/>
      <c r="C27" s="16"/>
      <c r="D27" s="36"/>
      <c r="E27" s="72"/>
      <c r="F27" s="16"/>
      <c r="G27" s="36"/>
    </row>
    <row r="28" spans="1:9" x14ac:dyDescent="0.25">
      <c r="A28" s="61" t="s">
        <v>161</v>
      </c>
      <c r="B28" s="37"/>
      <c r="C28" s="71">
        <f>SUM(C15:C27)</f>
        <v>0</v>
      </c>
      <c r="D28" s="74">
        <f>SUM(D15:D27)</f>
        <v>0</v>
      </c>
      <c r="E28" s="40"/>
      <c r="F28" s="71">
        <f>SUM(F15:F27)</f>
        <v>0</v>
      </c>
      <c r="G28" s="74">
        <f>SUM(G15:G27)</f>
        <v>0</v>
      </c>
    </row>
    <row r="29" spans="1:9" s="1" customFormat="1" x14ac:dyDescent="0.25">
      <c r="A29" s="60" t="s">
        <v>162</v>
      </c>
      <c r="B29" s="29"/>
      <c r="C29" s="43">
        <f>C28/C10</f>
        <v>0</v>
      </c>
      <c r="D29" s="46">
        <f>D28/C10</f>
        <v>0</v>
      </c>
      <c r="E29" s="29"/>
      <c r="F29" s="43">
        <f>F28/F10</f>
        <v>0</v>
      </c>
      <c r="G29" s="46">
        <f>G28/F10</f>
        <v>0</v>
      </c>
    </row>
    <row r="30" spans="1:9" x14ac:dyDescent="0.25">
      <c r="A30" s="61"/>
      <c r="B30" s="29"/>
      <c r="C30" s="42" t="s">
        <v>101</v>
      </c>
      <c r="D30" s="45" t="s">
        <v>102</v>
      </c>
      <c r="E30" s="29"/>
      <c r="F30" s="42" t="s">
        <v>101</v>
      </c>
      <c r="G30" s="45" t="s">
        <v>102</v>
      </c>
    </row>
    <row r="31" spans="1:9" x14ac:dyDescent="0.25">
      <c r="A31" s="62" t="s">
        <v>46</v>
      </c>
      <c r="B31" s="29"/>
      <c r="C31" s="43">
        <f>C28</f>
        <v>0</v>
      </c>
      <c r="D31" s="43">
        <f>D28</f>
        <v>0</v>
      </c>
      <c r="E31" s="78"/>
      <c r="F31" s="43">
        <f>F28</f>
        <v>0</v>
      </c>
      <c r="G31" s="46">
        <f>G28</f>
        <v>0</v>
      </c>
      <c r="H31" s="5"/>
      <c r="I31" s="5"/>
    </row>
    <row r="32" spans="1:9" x14ac:dyDescent="0.25">
      <c r="A32" s="51" t="s">
        <v>131</v>
      </c>
      <c r="B32" s="29"/>
      <c r="C32" s="44">
        <f>C29</f>
        <v>0</v>
      </c>
      <c r="D32" s="47">
        <f>D29</f>
        <v>0</v>
      </c>
      <c r="E32" s="78"/>
      <c r="F32" s="44">
        <f>F29</f>
        <v>0</v>
      </c>
      <c r="G32" s="47">
        <f>G29</f>
        <v>0</v>
      </c>
      <c r="I32" s="10"/>
    </row>
    <row r="33" spans="1:7" ht="15.75" thickBot="1" x14ac:dyDescent="0.3">
      <c r="A33" s="63" t="s">
        <v>47</v>
      </c>
      <c r="B33" s="38">
        <f>C6</f>
        <v>0.7</v>
      </c>
      <c r="C33" s="48">
        <f>IF(B7="SI",IF(C31*C6&gt;2500,2500,C31*C6),IF(C31*C6&gt;12000,12000,C31*C6))</f>
        <v>0</v>
      </c>
      <c r="D33" s="49">
        <f>IF(B7="SI",IF(D31*C6&gt;2500,2500,D31*C6),IF(D31*C6&gt;12000,12000,D31*C6))</f>
        <v>0</v>
      </c>
      <c r="E33" s="38">
        <f>C6</f>
        <v>0.7</v>
      </c>
      <c r="F33" s="48">
        <f>IF(B7="SI",IF(F31*C6&gt;2500,2500,F31*C6),IF(F31*C6&gt;12000,12000,F31*C6))</f>
        <v>0</v>
      </c>
      <c r="G33" s="49">
        <f>IF(B7="SI",IF(G31*C6&gt;2500,2500,G31*C6),IF(G31*C6&gt;12000,12000,G31*C6))</f>
        <v>0</v>
      </c>
    </row>
    <row r="34" spans="1:7" x14ac:dyDescent="0.25">
      <c r="G34" s="7"/>
    </row>
    <row r="35" spans="1:7" x14ac:dyDescent="0.25">
      <c r="G35" s="7"/>
    </row>
    <row r="36" spans="1:7" x14ac:dyDescent="0.25">
      <c r="F36" s="7"/>
      <c r="G36" s="7"/>
    </row>
    <row r="37" spans="1:7" x14ac:dyDescent="0.25">
      <c r="A37" s="15" t="s">
        <v>50</v>
      </c>
      <c r="B37"/>
      <c r="C37"/>
      <c r="D37"/>
      <c r="E37"/>
      <c r="F37" s="7"/>
      <c r="G37" s="7"/>
    </row>
    <row r="38" spans="1:7" x14ac:dyDescent="0.25">
      <c r="A38"/>
      <c r="B38"/>
      <c r="C38"/>
      <c r="D38"/>
      <c r="E38"/>
    </row>
    <row r="39" spans="1:7" x14ac:dyDescent="0.25">
      <c r="A39" s="4" t="s">
        <v>132</v>
      </c>
      <c r="D39" s="8"/>
      <c r="E39" s="8"/>
    </row>
    <row r="40" spans="1:7" x14ac:dyDescent="0.25">
      <c r="A40" s="21" t="s">
        <v>0</v>
      </c>
      <c r="B40" s="21" t="s">
        <v>1</v>
      </c>
      <c r="D40" s="8"/>
      <c r="E40" s="8"/>
    </row>
    <row r="41" spans="1:7" x14ac:dyDescent="0.25">
      <c r="A41" s="11" t="s">
        <v>2</v>
      </c>
      <c r="B41" s="24">
        <v>0.2</v>
      </c>
      <c r="D41" s="8"/>
      <c r="E41" s="8"/>
    </row>
    <row r="42" spans="1:7" x14ac:dyDescent="0.25">
      <c r="A42" s="11" t="s">
        <v>11</v>
      </c>
      <c r="B42" s="24">
        <v>0.3</v>
      </c>
      <c r="C42"/>
      <c r="D42"/>
      <c r="E42"/>
    </row>
    <row r="43" spans="1:7" x14ac:dyDescent="0.25">
      <c r="A43" s="11" t="s">
        <v>12</v>
      </c>
      <c r="B43" s="24">
        <v>0.4</v>
      </c>
      <c r="C43"/>
      <c r="D43"/>
      <c r="E43"/>
    </row>
    <row r="44" spans="1:7" x14ac:dyDescent="0.25">
      <c r="A44" s="11" t="s">
        <v>133</v>
      </c>
      <c r="B44" s="24">
        <v>0.7</v>
      </c>
      <c r="C44"/>
      <c r="D44"/>
      <c r="E44"/>
    </row>
  </sheetData>
  <sheetProtection algorithmName="SHA-512" hashValue="B9iZMkmSg9uw+u92XjqBDL8cCehO7vzzsHffSs/f5XFtZPnb+zBAVxu2ZJHKo80Hfm/bT9NS58UW54EwQsjLTQ==" saltValue="daSDI5uoK7ItPILGLvUdWQ==" spinCount="100000" sheet="1" objects="1" scenarios="1" selectLockedCells="1"/>
  <mergeCells count="4">
    <mergeCell ref="B9:D9"/>
    <mergeCell ref="E9:G9"/>
    <mergeCell ref="B13:D13"/>
    <mergeCell ref="E13:G13"/>
  </mergeCells>
  <dataValidations count="3">
    <dataValidation type="decimal" allowBlank="1" showInputMessage="1" showErrorMessage="1" errorTitle="Potència" error="Són subvencionables les inversions en nova infraestructura de recàrrega d'accés privat de potència fins 15 kW." sqref="F10 C10" xr:uid="{00000000-0002-0000-0400-000000000000}">
      <formula1>0</formula1>
      <formula2>15</formula2>
    </dataValidation>
    <dataValidation type="list" allowBlank="1" showInputMessage="1" showErrorMessage="1" sqref="C5" xr:uid="{00000000-0002-0000-0400-000001000000}">
      <formula1>$A$41:$A$44</formula1>
    </dataValidation>
    <dataValidation type="list" allowBlank="1" showInputMessage="1" showErrorMessage="1" sqref="B7" xr:uid="{00000000-0002-0000-0400-000002000000}">
      <formula1>"SI,NO"</formula1>
    </dataValidation>
  </dataValidations>
  <pageMargins left="0.7" right="0.7" top="0.75" bottom="0.75" header="0.3" footer="0.3"/>
  <pageSetup paperSize="9" scale="67" orientation="portrait" r:id="rId1"/>
  <colBreaks count="1" manualBreakCount="1">
    <brk id="7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Resum Instruccions</vt:lpstr>
      <vt:lpstr>Programa 1</vt:lpstr>
      <vt:lpstr>Programa 2</vt:lpstr>
      <vt:lpstr>Programa 3</vt:lpstr>
      <vt:lpstr>Programa 4</vt:lpstr>
      <vt:lpstr>'Programa 1'!Área_de_impresión</vt:lpstr>
      <vt:lpstr>'Programa 2'!Área_de_impresión</vt:lpstr>
      <vt:lpstr>'Programa 3'!Área_de_impresión</vt:lpstr>
      <vt:lpstr>'Programa 4'!Área_de_impresión</vt:lpstr>
      <vt:lpstr>'Resum Instruccions'!Área_de_impresión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u94000</dc:creator>
  <cp:lastModifiedBy>Antonio Sanchez Sanchez</cp:lastModifiedBy>
  <cp:lastPrinted>2025-09-22T11:54:07Z</cp:lastPrinted>
  <dcterms:created xsi:type="dcterms:W3CDTF">2025-09-16T06:48:13Z</dcterms:created>
  <dcterms:modified xsi:type="dcterms:W3CDTF">2026-09-30T08:23:47Z</dcterms:modified>
</cp:coreProperties>
</file>