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ESPORTS/Documents/dgesport/ASSUMPTES ECONOMICS.SUBVENCIONS/SUBVENCIONS/Subvencions 2026/CONVO 2025 22419 CLUBS TRASLLATS 25 26/Despeses competició/"/>
    </mc:Choice>
  </mc:AlternateContent>
  <xr:revisionPtr revIDLastSave="4" documentId="8_{47F40710-17B6-49B5-8A47-762A69BD1EF7}" xr6:coauthVersionLast="47" xr6:coauthVersionMax="47" xr10:uidLastSave="{86E2AD24-A8CA-42A9-903E-C88C726524A8}"/>
  <bookViews>
    <workbookView xWindow="-120" yWindow="-120" windowWidth="29040" windowHeight="15720" tabRatio="655" xr2:uid="{00000000-000D-0000-FFFF-FFFF00000000}"/>
  </bookViews>
  <sheets>
    <sheet name="despeses" sheetId="1" r:id="rId1"/>
    <sheet name="factures" sheetId="2" r:id="rId2"/>
  </sheets>
  <definedNames>
    <definedName name="_xlnm.Print_Area" localSheetId="0">despeses!$A$1:$AG$42</definedName>
    <definedName name="_xlnm.Print_Titles" localSheetId="0">despeses!$1:$2</definedName>
    <definedName name="_xlnm.Print_Titles" localSheetId="1">factures!$1:$1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140" i="1" l="1"/>
  <c r="AW140" i="1" s="1"/>
  <c r="AV141" i="1"/>
  <c r="AW141" i="1" s="1"/>
  <c r="AV142" i="1"/>
  <c r="AW142" i="1"/>
  <c r="AV143" i="1"/>
  <c r="AW143" i="1"/>
  <c r="AV144" i="1"/>
  <c r="AW144" i="1"/>
  <c r="AQ139" i="1"/>
  <c r="AQ140" i="1"/>
  <c r="AQ141" i="1"/>
  <c r="AQ142" i="1"/>
  <c r="AQ143" i="1"/>
  <c r="AQ144" i="1"/>
  <c r="AQ145" i="1"/>
  <c r="AV96" i="1"/>
  <c r="AW96" i="1" s="1"/>
  <c r="AV97" i="1"/>
  <c r="AW97" i="1" s="1"/>
  <c r="AV98" i="1"/>
  <c r="AW98" i="1"/>
  <c r="AQ96" i="1"/>
  <c r="AQ97" i="1"/>
  <c r="AQ98" i="1"/>
  <c r="AN96" i="1"/>
  <c r="AU96" i="1"/>
  <c r="AN97" i="1"/>
  <c r="AU97" i="1"/>
  <c r="AN140" i="1"/>
  <c r="AU140" i="1"/>
  <c r="AN141" i="1"/>
  <c r="AU141" i="1"/>
  <c r="AN142" i="1"/>
  <c r="AU142" i="1"/>
  <c r="AN143" i="1"/>
  <c r="AU143" i="1"/>
  <c r="AU106" i="1" l="1"/>
  <c r="AU107" i="1"/>
  <c r="AU108" i="1"/>
  <c r="AU110" i="1"/>
  <c r="AU113" i="1"/>
  <c r="AU114" i="1"/>
  <c r="AU109" i="1"/>
  <c r="AU111" i="1"/>
  <c r="AU115" i="1"/>
  <c r="AU112" i="1"/>
  <c r="AU116" i="1"/>
  <c r="AU118" i="1"/>
  <c r="AU119" i="1"/>
  <c r="AU117" i="1"/>
  <c r="AU120" i="1"/>
  <c r="AU121" i="1"/>
  <c r="AU123" i="1"/>
  <c r="AU124" i="1"/>
  <c r="AU125" i="1"/>
  <c r="AU122" i="1"/>
  <c r="AU126" i="1"/>
  <c r="AU127" i="1"/>
  <c r="AU128" i="1"/>
  <c r="AU129" i="1"/>
  <c r="AU130" i="1"/>
  <c r="AU132" i="1"/>
  <c r="AU131" i="1"/>
  <c r="AU133" i="1"/>
  <c r="AU134" i="1"/>
  <c r="AU137" i="1"/>
  <c r="AU135" i="1"/>
  <c r="AU138" i="1"/>
  <c r="AU136" i="1"/>
  <c r="AU139" i="1"/>
  <c r="AU145" i="1"/>
  <c r="AU148" i="1"/>
  <c r="AU146" i="1"/>
  <c r="AU149" i="1"/>
  <c r="AU147" i="1"/>
  <c r="AU150" i="1"/>
  <c r="AU144" i="1"/>
  <c r="AU151" i="1"/>
  <c r="AU152" i="1"/>
  <c r="AU153" i="1"/>
  <c r="AU155" i="1"/>
  <c r="AU154" i="1"/>
  <c r="AU158" i="1"/>
  <c r="AU156" i="1"/>
  <c r="AU159" i="1"/>
  <c r="AU157" i="1"/>
  <c r="AU160" i="1"/>
  <c r="AU163" i="1"/>
  <c r="AU161" i="1"/>
  <c r="AU164" i="1"/>
  <c r="AU162" i="1"/>
  <c r="AU165" i="1"/>
  <c r="AU166" i="1"/>
  <c r="AU167" i="1"/>
  <c r="AU170" i="1"/>
  <c r="AU168" i="1"/>
  <c r="AU171" i="1"/>
  <c r="AU169" i="1"/>
  <c r="AU172" i="1"/>
  <c r="AU173" i="1"/>
  <c r="AU175" i="1"/>
  <c r="AU174" i="1"/>
  <c r="AU176" i="1"/>
  <c r="AU177" i="1"/>
  <c r="AU90" i="1"/>
  <c r="AU93" i="1"/>
  <c r="AU91" i="1"/>
  <c r="AU94" i="1"/>
  <c r="AU92" i="1"/>
  <c r="AU95" i="1"/>
  <c r="AU98" i="1"/>
  <c r="AU99" i="1"/>
  <c r="AU100" i="1"/>
  <c r="AU101" i="1"/>
  <c r="AU102" i="1"/>
  <c r="AU103" i="1"/>
  <c r="AU104" i="1"/>
  <c r="AU105" i="1"/>
  <c r="AU85" i="1"/>
  <c r="AU83" i="1"/>
  <c r="AU86" i="1"/>
  <c r="AU84" i="1"/>
  <c r="AU87" i="1"/>
  <c r="AU88" i="1"/>
  <c r="AU89" i="1"/>
  <c r="AU82" i="1"/>
  <c r="AQ113" i="1"/>
  <c r="AQ114" i="1"/>
  <c r="AQ109" i="1"/>
  <c r="AQ111" i="1"/>
  <c r="AQ115" i="1"/>
  <c r="AQ112" i="1"/>
  <c r="AQ116" i="1"/>
  <c r="AQ118" i="1"/>
  <c r="AQ119" i="1"/>
  <c r="AQ117" i="1"/>
  <c r="AQ120" i="1"/>
  <c r="AQ121" i="1"/>
  <c r="AQ123" i="1"/>
  <c r="AQ124" i="1"/>
  <c r="AQ125" i="1"/>
  <c r="AQ122" i="1"/>
  <c r="AQ126" i="1"/>
  <c r="AQ127" i="1"/>
  <c r="AQ128" i="1"/>
  <c r="AQ129" i="1"/>
  <c r="AQ130" i="1"/>
  <c r="AQ132" i="1"/>
  <c r="AQ131" i="1"/>
  <c r="AQ133" i="1"/>
  <c r="AQ134" i="1"/>
  <c r="AQ137" i="1"/>
  <c r="AQ135" i="1"/>
  <c r="AQ138" i="1"/>
  <c r="AQ136" i="1"/>
  <c r="AQ148" i="1"/>
  <c r="AQ146" i="1"/>
  <c r="AQ149" i="1"/>
  <c r="AQ147" i="1"/>
  <c r="AQ150" i="1"/>
  <c r="AQ151" i="1"/>
  <c r="AQ152" i="1"/>
  <c r="AQ153" i="1"/>
  <c r="AQ155" i="1"/>
  <c r="AQ154" i="1"/>
  <c r="AQ158" i="1"/>
  <c r="AQ156" i="1"/>
  <c r="AQ159" i="1"/>
  <c r="AQ157" i="1"/>
  <c r="AQ160" i="1"/>
  <c r="AQ163" i="1"/>
  <c r="AQ161" i="1"/>
  <c r="AQ164" i="1"/>
  <c r="AQ162" i="1"/>
  <c r="AQ165" i="1"/>
  <c r="AQ166" i="1"/>
  <c r="AQ167" i="1"/>
  <c r="AQ170" i="1"/>
  <c r="AQ168" i="1"/>
  <c r="AQ171" i="1"/>
  <c r="AQ169" i="1"/>
  <c r="AQ172" i="1"/>
  <c r="AQ173" i="1"/>
  <c r="AQ175" i="1"/>
  <c r="AQ174" i="1"/>
  <c r="AQ176" i="1"/>
  <c r="AQ177" i="1"/>
  <c r="AQ99" i="1"/>
  <c r="AQ100" i="1"/>
  <c r="AQ101" i="1"/>
  <c r="AQ102" i="1"/>
  <c r="AQ103" i="1"/>
  <c r="AQ104" i="1"/>
  <c r="AQ105" i="1"/>
  <c r="AQ106" i="1"/>
  <c r="AQ107" i="1"/>
  <c r="AQ108" i="1"/>
  <c r="AQ110" i="1"/>
  <c r="AQ87" i="1"/>
  <c r="AQ88" i="1"/>
  <c r="AQ89" i="1"/>
  <c r="AQ90" i="1"/>
  <c r="AQ93" i="1"/>
  <c r="AQ91" i="1"/>
  <c r="AQ94" i="1"/>
  <c r="AQ92" i="1"/>
  <c r="AQ95" i="1"/>
  <c r="AQ85" i="1"/>
  <c r="AQ83" i="1"/>
  <c r="AQ86" i="1"/>
  <c r="AQ84" i="1"/>
  <c r="AQ82" i="1"/>
  <c r="AV107" i="1"/>
  <c r="AV108" i="1"/>
  <c r="AV110" i="1"/>
  <c r="AV113" i="1"/>
  <c r="AV114" i="1"/>
  <c r="AV109" i="1"/>
  <c r="AV111" i="1"/>
  <c r="AV115" i="1"/>
  <c r="AV112" i="1"/>
  <c r="AV116" i="1"/>
  <c r="AV118" i="1"/>
  <c r="AV119" i="1"/>
  <c r="AV117" i="1"/>
  <c r="AV120" i="1"/>
  <c r="AV121" i="1"/>
  <c r="AV123" i="1"/>
  <c r="AV124" i="1"/>
  <c r="AV125" i="1"/>
  <c r="AV122" i="1"/>
  <c r="AV126" i="1"/>
  <c r="AV127" i="1"/>
  <c r="AV128" i="1"/>
  <c r="AV129" i="1"/>
  <c r="AV130" i="1"/>
  <c r="AV132" i="1"/>
  <c r="AV131" i="1"/>
  <c r="AV133" i="1"/>
  <c r="AV134" i="1"/>
  <c r="AV137" i="1"/>
  <c r="AV135" i="1"/>
  <c r="AV138" i="1"/>
  <c r="AV136" i="1"/>
  <c r="AV139" i="1"/>
  <c r="AV145" i="1"/>
  <c r="AV148" i="1"/>
  <c r="AV146" i="1"/>
  <c r="AV149" i="1"/>
  <c r="AV147" i="1"/>
  <c r="AV150" i="1"/>
  <c r="AV151" i="1"/>
  <c r="AV152" i="1"/>
  <c r="AV153" i="1"/>
  <c r="AV155" i="1"/>
  <c r="AV154" i="1"/>
  <c r="AV158" i="1"/>
  <c r="AV156" i="1"/>
  <c r="AV159" i="1"/>
  <c r="AV157" i="1"/>
  <c r="AV160" i="1"/>
  <c r="AV163" i="1"/>
  <c r="AV161" i="1"/>
  <c r="AV164" i="1"/>
  <c r="AV162" i="1"/>
  <c r="AV165" i="1"/>
  <c r="AV166" i="1"/>
  <c r="AV167" i="1"/>
  <c r="AV170" i="1"/>
  <c r="AV168" i="1"/>
  <c r="AV171" i="1"/>
  <c r="AV169" i="1"/>
  <c r="AV172" i="1"/>
  <c r="AV173" i="1"/>
  <c r="AV175" i="1"/>
  <c r="AV174" i="1"/>
  <c r="AV176" i="1"/>
  <c r="AV177" i="1"/>
  <c r="AV103" i="1"/>
  <c r="AV104" i="1"/>
  <c r="AV105" i="1"/>
  <c r="AV106" i="1"/>
  <c r="AV99" i="1"/>
  <c r="AV100" i="1"/>
  <c r="AV101" i="1"/>
  <c r="AV102" i="1"/>
  <c r="AV94" i="1"/>
  <c r="AV92" i="1"/>
  <c r="AV95" i="1"/>
  <c r="AV84" i="1"/>
  <c r="AV87" i="1"/>
  <c r="AV88" i="1"/>
  <c r="AV89" i="1"/>
  <c r="AV90" i="1"/>
  <c r="AV93" i="1"/>
  <c r="AV91" i="1"/>
  <c r="AV86" i="1"/>
  <c r="AV83" i="1"/>
  <c r="AV85" i="1"/>
  <c r="AV82" i="1"/>
  <c r="AN136" i="1"/>
  <c r="AW136" i="1" l="1"/>
  <c r="AW156" i="1"/>
  <c r="AN156" i="1"/>
  <c r="U30" i="1"/>
  <c r="L30" i="1" s="1"/>
  <c r="U29" i="1"/>
  <c r="L29" i="1" s="1"/>
  <c r="U28" i="1"/>
  <c r="L28" i="1" s="1"/>
  <c r="U27" i="1"/>
  <c r="L27" i="1" s="1"/>
  <c r="U26" i="1"/>
  <c r="L26" i="1" s="1"/>
  <c r="U25" i="1"/>
  <c r="L25" i="1" s="1"/>
  <c r="U24" i="1"/>
  <c r="L24" i="1" s="1"/>
  <c r="U23" i="1"/>
  <c r="L23" i="1" s="1"/>
  <c r="U22" i="1"/>
  <c r="L22" i="1" s="1"/>
  <c r="U21" i="1"/>
  <c r="L21" i="1" s="1"/>
  <c r="U20" i="1"/>
  <c r="L20" i="1" s="1"/>
  <c r="U19" i="1"/>
  <c r="L19" i="1" s="1"/>
  <c r="U18" i="1"/>
  <c r="L18" i="1" s="1"/>
  <c r="U17" i="1"/>
  <c r="L17" i="1" s="1"/>
  <c r="U16" i="1"/>
  <c r="L16" i="1" s="1"/>
  <c r="U15" i="1"/>
  <c r="L15" i="1" s="1"/>
  <c r="U14" i="1"/>
  <c r="L14" i="1" s="1"/>
  <c r="Y14" i="1" s="1"/>
  <c r="U13" i="1"/>
  <c r="L13" i="1" s="1"/>
  <c r="Y13" i="1" s="1"/>
  <c r="U12" i="1"/>
  <c r="L12" i="1" s="1"/>
  <c r="Y12" i="1" s="1"/>
  <c r="U11" i="1"/>
  <c r="L11" i="1" s="1"/>
  <c r="Y11" i="1" s="1"/>
  <c r="AW126" i="1"/>
  <c r="AW128" i="1"/>
  <c r="AW129" i="1"/>
  <c r="AW127" i="1"/>
  <c r="AN128" i="1"/>
  <c r="AN129" i="1"/>
  <c r="AN127" i="1"/>
  <c r="AW104" i="1"/>
  <c r="AN104" i="1"/>
  <c r="AN144" i="1"/>
  <c r="AN126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K16" i="1"/>
  <c r="P16" i="1"/>
  <c r="K17" i="1"/>
  <c r="P17" i="1"/>
  <c r="K18" i="1"/>
  <c r="P18" i="1"/>
  <c r="K19" i="1"/>
  <c r="P19" i="1"/>
  <c r="K20" i="1"/>
  <c r="P20" i="1"/>
  <c r="K21" i="1"/>
  <c r="P21" i="1"/>
  <c r="K22" i="1"/>
  <c r="P22" i="1"/>
  <c r="K23" i="1"/>
  <c r="P23" i="1"/>
  <c r="K24" i="1"/>
  <c r="P24" i="1"/>
  <c r="K25" i="1"/>
  <c r="P25" i="1"/>
  <c r="K26" i="1"/>
  <c r="P26" i="1"/>
  <c r="K27" i="1"/>
  <c r="P27" i="1"/>
  <c r="K28" i="1"/>
  <c r="P28" i="1"/>
  <c r="K29" i="1"/>
  <c r="P29" i="1"/>
  <c r="K30" i="1"/>
  <c r="P30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Q7" i="1"/>
  <c r="AW177" i="1"/>
  <c r="AW83" i="1"/>
  <c r="AW84" i="1"/>
  <c r="AW85" i="1"/>
  <c r="AW86" i="1"/>
  <c r="AW87" i="1"/>
  <c r="AW89" i="1"/>
  <c r="AW88" i="1"/>
  <c r="AW90" i="1"/>
  <c r="AW91" i="1"/>
  <c r="AW92" i="1"/>
  <c r="AW93" i="1"/>
  <c r="AW94" i="1"/>
  <c r="AW95" i="1"/>
  <c r="AW99" i="1"/>
  <c r="AW100" i="1"/>
  <c r="AW101" i="1"/>
  <c r="AW102" i="1"/>
  <c r="AW103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30" i="1"/>
  <c r="AW131" i="1"/>
  <c r="AW132" i="1"/>
  <c r="AW133" i="1"/>
  <c r="AW134" i="1"/>
  <c r="AW135" i="1"/>
  <c r="AW137" i="1"/>
  <c r="AW138" i="1"/>
  <c r="AW139" i="1"/>
  <c r="AW145" i="1"/>
  <c r="AW146" i="1"/>
  <c r="AW147" i="1"/>
  <c r="AW148" i="1"/>
  <c r="AW149" i="1"/>
  <c r="AW150" i="1"/>
  <c r="AW151" i="1"/>
  <c r="AW152" i="1"/>
  <c r="AW153" i="1"/>
  <c r="AW154" i="1"/>
  <c r="AW155" i="1"/>
  <c r="AW158" i="1"/>
  <c r="AW159" i="1"/>
  <c r="AW157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82" i="1"/>
  <c r="AN177" i="1"/>
  <c r="AN176" i="1"/>
  <c r="AN175" i="1"/>
  <c r="AN174" i="1"/>
  <c r="AN173" i="1"/>
  <c r="AN172" i="1"/>
  <c r="AN171" i="1"/>
  <c r="AN170" i="1"/>
  <c r="AN169" i="1"/>
  <c r="AN168" i="1"/>
  <c r="AN167" i="1"/>
  <c r="AN166" i="1"/>
  <c r="AN165" i="1"/>
  <c r="AN164" i="1"/>
  <c r="AN163" i="1"/>
  <c r="AN162" i="1"/>
  <c r="AN161" i="1"/>
  <c r="AN160" i="1"/>
  <c r="AN157" i="1"/>
  <c r="AN159" i="1"/>
  <c r="AN158" i="1"/>
  <c r="AN155" i="1"/>
  <c r="AN154" i="1"/>
  <c r="AN153" i="1"/>
  <c r="AN152" i="1"/>
  <c r="AN151" i="1"/>
  <c r="AN150" i="1"/>
  <c r="AN149" i="1"/>
  <c r="AN148" i="1"/>
  <c r="AN147" i="1"/>
  <c r="AN146" i="1"/>
  <c r="AN145" i="1"/>
  <c r="AN139" i="1"/>
  <c r="AN138" i="1"/>
  <c r="AN137" i="1"/>
  <c r="AN135" i="1"/>
  <c r="AN134" i="1"/>
  <c r="AN133" i="1"/>
  <c r="AN132" i="1"/>
  <c r="AN131" i="1"/>
  <c r="AN130" i="1"/>
  <c r="AN125" i="1"/>
  <c r="AN124" i="1"/>
  <c r="AN123" i="1"/>
  <c r="AN122" i="1"/>
  <c r="AN121" i="1"/>
  <c r="AN120" i="1"/>
  <c r="AN119" i="1"/>
  <c r="AN118" i="1"/>
  <c r="AN117" i="1"/>
  <c r="AN116" i="1"/>
  <c r="AN115" i="1"/>
  <c r="AN114" i="1"/>
  <c r="AN113" i="1"/>
  <c r="AN112" i="1"/>
  <c r="AN111" i="1"/>
  <c r="AN110" i="1"/>
  <c r="AN109" i="1"/>
  <c r="AN108" i="1"/>
  <c r="AN107" i="1"/>
  <c r="AN106" i="1"/>
  <c r="AN105" i="1"/>
  <c r="AN103" i="1"/>
  <c r="AN102" i="1"/>
  <c r="AN101" i="1"/>
  <c r="AN100" i="1"/>
  <c r="AN99" i="1"/>
  <c r="AN98" i="1"/>
  <c r="AN95" i="1"/>
  <c r="AN94" i="1"/>
  <c r="AN93" i="1"/>
  <c r="AN92" i="1"/>
  <c r="AN91" i="1"/>
  <c r="AN90" i="1"/>
  <c r="AN88" i="1"/>
  <c r="AN89" i="1"/>
  <c r="AN87" i="1"/>
  <c r="AN86" i="1"/>
  <c r="AN85" i="1"/>
  <c r="AN84" i="1"/>
  <c r="AN83" i="1"/>
  <c r="AN82" i="1"/>
  <c r="AC121" i="1"/>
  <c r="AC123" i="1"/>
  <c r="AC125" i="1"/>
  <c r="AC104" i="1"/>
  <c r="AC106" i="1"/>
  <c r="AC119" i="1"/>
  <c r="AC85" i="1"/>
  <c r="AC87" i="1"/>
  <c r="AC100" i="1"/>
  <c r="AC138" i="1"/>
  <c r="AC83" i="1"/>
  <c r="AC102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4" i="1"/>
  <c r="AC122" i="1"/>
  <c r="AC120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5" i="1"/>
  <c r="AC103" i="1"/>
  <c r="AC101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6" i="1"/>
  <c r="AC84" i="1"/>
  <c r="AC82" i="1"/>
  <c r="V11" i="1"/>
  <c r="S15" i="1" l="1"/>
  <c r="S19" i="1"/>
  <c r="S23" i="1"/>
  <c r="S27" i="1"/>
  <c r="T11" i="1"/>
  <c r="K11" i="1" s="1"/>
  <c r="S29" i="1"/>
  <c r="T15" i="1"/>
  <c r="K15" i="1" s="1"/>
  <c r="T19" i="1"/>
  <c r="T23" i="1"/>
  <c r="T27" i="1"/>
  <c r="S11" i="1"/>
  <c r="P11" i="1" s="1"/>
  <c r="S25" i="1"/>
  <c r="T29" i="1"/>
  <c r="S12" i="1"/>
  <c r="P12" i="1" s="1"/>
  <c r="S16" i="1"/>
  <c r="S20" i="1"/>
  <c r="S24" i="1"/>
  <c r="S28" i="1"/>
  <c r="N8" i="1"/>
  <c r="S17" i="1"/>
  <c r="T25" i="1"/>
  <c r="T12" i="1"/>
  <c r="K12" i="1" s="1"/>
  <c r="T16" i="1"/>
  <c r="T20" i="1"/>
  <c r="T24" i="1"/>
  <c r="T28" i="1"/>
  <c r="N7" i="1"/>
  <c r="O7" i="1" s="1"/>
  <c r="S13" i="1"/>
  <c r="P13" i="1" s="1"/>
  <c r="T21" i="1"/>
  <c r="S14" i="1"/>
  <c r="P14" i="1" s="1"/>
  <c r="S18" i="1"/>
  <c r="S22" i="1"/>
  <c r="S26" i="1"/>
  <c r="S30" i="1"/>
  <c r="N6" i="1"/>
  <c r="O6" i="1" s="1"/>
  <c r="T13" i="1"/>
  <c r="K13" i="1" s="1"/>
  <c r="T14" i="1"/>
  <c r="K14" i="1" s="1"/>
  <c r="T18" i="1"/>
  <c r="T22" i="1"/>
  <c r="T26" i="1"/>
  <c r="T30" i="1"/>
  <c r="S21" i="1"/>
  <c r="T17" i="1"/>
  <c r="W19" i="1"/>
  <c r="W18" i="1"/>
  <c r="W28" i="1"/>
  <c r="W20" i="1"/>
  <c r="X17" i="1"/>
  <c r="W23" i="1"/>
  <c r="W12" i="1"/>
  <c r="X25" i="1"/>
  <c r="X26" i="1"/>
  <c r="W15" i="1"/>
  <c r="X21" i="1"/>
  <c r="W24" i="1"/>
  <c r="X13" i="1"/>
  <c r="X29" i="1"/>
  <c r="W27" i="1"/>
  <c r="W16" i="1"/>
  <c r="P15" i="1"/>
  <c r="W30" i="1"/>
  <c r="W22" i="1"/>
  <c r="X19" i="1"/>
  <c r="W14" i="1"/>
  <c r="W26" i="1"/>
  <c r="W13" i="1"/>
  <c r="W29" i="1"/>
  <c r="X27" i="1"/>
  <c r="X30" i="1"/>
  <c r="W21" i="1"/>
  <c r="W17" i="1"/>
  <c r="X14" i="1"/>
  <c r="W25" i="1"/>
  <c r="X22" i="1"/>
  <c r="X18" i="1"/>
  <c r="X12" i="1"/>
  <c r="X28" i="1"/>
  <c r="X20" i="1"/>
  <c r="X23" i="1"/>
  <c r="X15" i="1"/>
  <c r="X24" i="1"/>
  <c r="X16" i="1"/>
  <c r="P8" i="1"/>
  <c r="Q16" i="1" s="1"/>
  <c r="X11" i="1"/>
  <c r="W11" i="1"/>
  <c r="Q23" i="1" l="1"/>
  <c r="Q14" i="1"/>
  <c r="Q30" i="1"/>
  <c r="Q17" i="1"/>
  <c r="Q12" i="1"/>
  <c r="Q18" i="1"/>
  <c r="Q24" i="1"/>
  <c r="Q11" i="1"/>
  <c r="Q26" i="1"/>
  <c r="Q19" i="1"/>
  <c r="Q21" i="1"/>
  <c r="Q27" i="1"/>
  <c r="Q29" i="1"/>
  <c r="Q25" i="1"/>
  <c r="Q22" i="1"/>
  <c r="Q20" i="1"/>
  <c r="Q15" i="1"/>
  <c r="Q13" i="1"/>
  <c r="Q28" i="1"/>
  <c r="P7" i="1"/>
  <c r="P6" i="1"/>
  <c r="M12" i="1" l="1"/>
  <c r="M20" i="1"/>
  <c r="M28" i="1"/>
  <c r="M21" i="1"/>
  <c r="M11" i="1"/>
  <c r="M13" i="1"/>
  <c r="M14" i="1"/>
  <c r="M15" i="1"/>
  <c r="M16" i="1"/>
  <c r="M24" i="1"/>
  <c r="M22" i="1"/>
  <c r="M17" i="1"/>
  <c r="M25" i="1"/>
  <c r="M23" i="1"/>
  <c r="M18" i="1"/>
  <c r="M26" i="1"/>
  <c r="M30" i="1"/>
  <c r="M19" i="1"/>
  <c r="M27" i="1"/>
  <c r="M29" i="1"/>
  <c r="N15" i="1"/>
  <c r="J15" i="1" s="1"/>
  <c r="N11" i="1"/>
  <c r="J11" i="1" s="1"/>
  <c r="O11" i="1"/>
  <c r="N13" i="1"/>
  <c r="J13" i="1" s="1"/>
  <c r="N17" i="1"/>
  <c r="J17" i="1" s="1"/>
  <c r="N21" i="1"/>
  <c r="J21" i="1" s="1"/>
  <c r="N25" i="1"/>
  <c r="J25" i="1" s="1"/>
  <c r="N29" i="1"/>
  <c r="J29" i="1" s="1"/>
  <c r="N12" i="1"/>
  <c r="J12" i="1" s="1"/>
  <c r="N16" i="1"/>
  <c r="J16" i="1" s="1"/>
  <c r="N20" i="1"/>
  <c r="J20" i="1" s="1"/>
  <c r="N24" i="1"/>
  <c r="J24" i="1" s="1"/>
  <c r="N28" i="1"/>
  <c r="J28" i="1" s="1"/>
  <c r="N19" i="1"/>
  <c r="J19" i="1" s="1"/>
  <c r="N23" i="1"/>
  <c r="J23" i="1" s="1"/>
  <c r="N27" i="1"/>
  <c r="J27" i="1" s="1"/>
  <c r="N14" i="1"/>
  <c r="J14" i="1" s="1"/>
  <c r="N18" i="1"/>
  <c r="J18" i="1" s="1"/>
  <c r="N22" i="1"/>
  <c r="J22" i="1" s="1"/>
  <c r="N26" i="1"/>
  <c r="J26" i="1" s="1"/>
  <c r="N30" i="1"/>
  <c r="J30" i="1" s="1"/>
  <c r="O14" i="1"/>
  <c r="O18" i="1"/>
  <c r="O22" i="1"/>
  <c r="O26" i="1"/>
  <c r="O30" i="1"/>
  <c r="O13" i="1"/>
  <c r="O17" i="1"/>
  <c r="O21" i="1"/>
  <c r="O25" i="1"/>
  <c r="O29" i="1"/>
  <c r="O27" i="1"/>
  <c r="O12" i="1"/>
  <c r="O16" i="1"/>
  <c r="O20" i="1"/>
  <c r="O24" i="1"/>
  <c r="O28" i="1"/>
  <c r="O15" i="1"/>
  <c r="O19" i="1"/>
  <c r="O23" i="1"/>
  <c r="Q31" i="1"/>
  <c r="R12" i="1" l="1"/>
  <c r="R22" i="1"/>
  <c r="R27" i="1"/>
  <c r="R29" i="1"/>
  <c r="R24" i="1"/>
  <c r="R20" i="1"/>
  <c r="R30" i="1"/>
  <c r="R25" i="1"/>
  <c r="R14" i="1"/>
  <c r="R16" i="1"/>
  <c r="R19" i="1"/>
  <c r="R17" i="1"/>
  <c r="R23" i="1"/>
  <c r="R13" i="1"/>
  <c r="R26" i="1"/>
  <c r="R21" i="1"/>
  <c r="R15" i="1"/>
  <c r="R28" i="1"/>
  <c r="R18" i="1"/>
  <c r="M31" i="1"/>
  <c r="J4" i="1" s="1"/>
  <c r="J6" i="1"/>
  <c r="O31" i="1"/>
  <c r="G6" i="1" s="1"/>
  <c r="R11" i="1"/>
  <c r="N31" i="1"/>
  <c r="G4" i="1" s="1"/>
  <c r="R31" i="1" l="1"/>
  <c r="J8" i="1"/>
</calcChain>
</file>

<file path=xl/sharedStrings.xml><?xml version="1.0" encoding="utf-8"?>
<sst xmlns="http://schemas.openxmlformats.org/spreadsheetml/2006/main" count="532" uniqueCount="221">
  <si>
    <t>BILBAO</t>
  </si>
  <si>
    <t>TENERIFE</t>
  </si>
  <si>
    <t>PAX</t>
  </si>
  <si>
    <t>Observacions</t>
  </si>
  <si>
    <t>Import total</t>
  </si>
  <si>
    <t>Import manutenció</t>
  </si>
  <si>
    <t>Localitat destí</t>
  </si>
  <si>
    <t>Equip/s contrari/s</t>
  </si>
  <si>
    <t>BÀDMINTON</t>
  </si>
  <si>
    <t>Esport</t>
  </si>
  <si>
    <t>EIVISSA</t>
  </si>
  <si>
    <t>Illa origen</t>
  </si>
  <si>
    <t>OVIEDO</t>
  </si>
  <si>
    <t>MADRID</t>
  </si>
  <si>
    <t>SANTIAGO</t>
  </si>
  <si>
    <t>LA CORUNYA</t>
  </si>
  <si>
    <t>SEVILLA</t>
  </si>
  <si>
    <t>GRANADA</t>
  </si>
  <si>
    <t>MELILLA</t>
  </si>
  <si>
    <t>MENORCA</t>
  </si>
  <si>
    <t>WATERPOLO</t>
  </si>
  <si>
    <t>VOLEIBOL</t>
  </si>
  <si>
    <t>RUGBI</t>
  </si>
  <si>
    <t>HOQUEI LÍNIA</t>
  </si>
  <si>
    <t>MALLORCA</t>
  </si>
  <si>
    <t>HANDBOL</t>
  </si>
  <si>
    <t>FUTBOL AMERICÀ</t>
  </si>
  <si>
    <t>FUTBOL SALA</t>
  </si>
  <si>
    <t>FUTBOL</t>
  </si>
  <si>
    <t>BÀSQUET</t>
  </si>
  <si>
    <t>TIR AMB ARC</t>
  </si>
  <si>
    <t>TENNIS TAULA</t>
  </si>
  <si>
    <t>PETANCA</t>
  </si>
  <si>
    <t>PÀDEL</t>
  </si>
  <si>
    <t>NATACIÓ</t>
  </si>
  <si>
    <t>GIMNÀSTICA ARTÍSTICA MASCULINA</t>
  </si>
  <si>
    <t>ESCACS</t>
  </si>
  <si>
    <t>BITLLES</t>
  </si>
  <si>
    <t>BILLAR</t>
  </si>
  <si>
    <t>FORMENTERA</t>
  </si>
  <si>
    <t>ATLETISME</t>
  </si>
  <si>
    <t>Illes</t>
  </si>
  <si>
    <t>Destí</t>
  </si>
  <si>
    <t>Origen</t>
  </si>
  <si>
    <t>Origen-destí</t>
  </si>
  <si>
    <t>Sexe</t>
  </si>
  <si>
    <t>FEMENÍ</t>
  </si>
  <si>
    <t>MASCULÍ</t>
  </si>
  <si>
    <t>MIXT</t>
  </si>
  <si>
    <t>TOTAL</t>
  </si>
  <si>
    <t>Nom equip / club</t>
  </si>
  <si>
    <t>PAX màxim
(taula 2 bases)</t>
  </si>
  <si>
    <t>SARAGOSSA</t>
  </si>
  <si>
    <t>Import entrenaments</t>
  </si>
  <si>
    <t>A CASA</t>
  </si>
  <si>
    <t>FORA DE CASA</t>
  </si>
  <si>
    <t>A on és la competició</t>
  </si>
  <si>
    <t>Pernoctacions acceptades</t>
  </si>
  <si>
    <t>Pernoctacions al destí</t>
  </si>
  <si>
    <t>Import desplaçaments</t>
  </si>
  <si>
    <t>Màxim pernoctacions permeses</t>
  </si>
  <si>
    <t>Preu desplaçament/PAX</t>
  </si>
  <si>
    <t>Import manutenció/PAX</t>
  </si>
  <si>
    <t>On és la/les competició/ons</t>
  </si>
  <si>
    <t>Jornada o jornades disputades
(a un mateix desplaçament)</t>
  </si>
  <si>
    <t>Data de tornada (només si la competició és fora de casa)</t>
  </si>
  <si>
    <t>Data d'anada (només si la competició es fora de casa)</t>
  </si>
  <si>
    <t>Data factura</t>
  </si>
  <si>
    <t>Data pagament</t>
  </si>
  <si>
    <t>Núm.</t>
  </si>
  <si>
    <t>Esportista</t>
  </si>
  <si>
    <t>Tècnic/a</t>
  </si>
  <si>
    <t>TOTALS</t>
  </si>
  <si>
    <t>Categoria</t>
  </si>
  <si>
    <t>Tipus lliga</t>
  </si>
  <si>
    <t>ABSOLUTA</t>
  </si>
  <si>
    <t>JUVENIL O JUNIOR</t>
  </si>
  <si>
    <t>Tipus de lliga</t>
  </si>
  <si>
    <t>PLAY-OFF, COPA, INTERNACIONAL</t>
  </si>
  <si>
    <t>Declar que les despeses imputades en aquest document estan efectivament pagades.</t>
  </si>
  <si>
    <t>Aquest document s'ha de signar digitalment</t>
  </si>
  <si>
    <t>Nº Esportistes i tècnics a la competició</t>
  </si>
  <si>
    <t>Imports</t>
  </si>
  <si>
    <t>GRAN CANARIA </t>
  </si>
  <si>
    <t>MALAGA</t>
  </si>
  <si>
    <t>Pern.</t>
  </si>
  <si>
    <t>ALACANT (vaixell)</t>
  </si>
  <si>
    <t>BARCELONA (vaixell)</t>
  </si>
  <si>
    <t>DÉNIA (vaixell)</t>
  </si>
  <si>
    <t>VALÈNCIA (vaixell)</t>
  </si>
  <si>
    <t>ALACANT (avió)</t>
  </si>
  <si>
    <t>BARCELONA (avió)</t>
  </si>
  <si>
    <t>VALÈNCIA (avió)</t>
  </si>
  <si>
    <t>Esport i sexe</t>
  </si>
  <si>
    <t>Esport, sexe i categoria</t>
  </si>
  <si>
    <t>Pax</t>
  </si>
  <si>
    <t>ATLETISME FEMENÍ</t>
  </si>
  <si>
    <t>Divisió d’honor</t>
  </si>
  <si>
    <t>Primera divisió</t>
  </si>
  <si>
    <t>Segona divisió</t>
  </si>
  <si>
    <t>ATLETISME MASCULÍ</t>
  </si>
  <si>
    <t>Primera nacional</t>
  </si>
  <si>
    <t>BÀSQUET FEMENÍ</t>
  </si>
  <si>
    <t>Lliga femenina ENDESA</t>
  </si>
  <si>
    <t>Lliga Challenge</t>
  </si>
  <si>
    <t>Lliga femenina 2</t>
  </si>
  <si>
    <t>BÀSQUET MASCULÍ</t>
  </si>
  <si>
    <t>Sèrie A</t>
  </si>
  <si>
    <t>Sèrie B</t>
  </si>
  <si>
    <t>FUTBOL FEMENÍ</t>
  </si>
  <si>
    <t>FUTBOL JUVENIL MASCULÍ</t>
  </si>
  <si>
    <t>Divisió d’honor juvenil</t>
  </si>
  <si>
    <t>FUTBOL MASCULÍ</t>
  </si>
  <si>
    <t>FUTBOL SALA FEMENÍ</t>
  </si>
  <si>
    <t>FUTBOL SALA JUVENIL MASCULÍ</t>
  </si>
  <si>
    <t>FUTBOL SALA MASCULÍ</t>
  </si>
  <si>
    <t>Categoria absoluta</t>
  </si>
  <si>
    <t>GIMNÀSTICA FEMENINA (ARTÍSTICA O RÍTMICA)</t>
  </si>
  <si>
    <t>HANDBOL FEMENÍ</t>
  </si>
  <si>
    <t>Divisió d’honor (Lliga Guerreras Iberdrola)</t>
  </si>
  <si>
    <t>Divisió d’honor plata</t>
  </si>
  <si>
    <t>HANDBOL MASCULÍ</t>
  </si>
  <si>
    <t>HOQUEI LÍNIA FEMENÍ</t>
  </si>
  <si>
    <t>Elit femení</t>
  </si>
  <si>
    <t>Or femení</t>
  </si>
  <si>
    <t>HOQUEI LÍNIA MASCULÍ</t>
  </si>
  <si>
    <t>Elit masculí</t>
  </si>
  <si>
    <t>Or masculí</t>
  </si>
  <si>
    <t>Plata masculí</t>
  </si>
  <si>
    <t>NATACIÓ FEMENÍ</t>
  </si>
  <si>
    <t>NATACIÓ MASCULÍ</t>
  </si>
  <si>
    <t>PETANCA  MASCULÍ</t>
  </si>
  <si>
    <t>PETANCA FEMENÍ</t>
  </si>
  <si>
    <t>RUGBI MASCULÍ</t>
  </si>
  <si>
    <t>Divisió d’honor B</t>
  </si>
  <si>
    <t>TENNIS TAULA FEMENÍ</t>
  </si>
  <si>
    <t>Superdivisió femenina</t>
  </si>
  <si>
    <t>TENNIS TAULA MASCULÍ</t>
  </si>
  <si>
    <t>Superdivisió masculina</t>
  </si>
  <si>
    <t>VOLEIBOL FEMENÍ</t>
  </si>
  <si>
    <t>Superlliga 2</t>
  </si>
  <si>
    <t>VOLEIBOL MASCULÍ</t>
  </si>
  <si>
    <t>Superlliga</t>
  </si>
  <si>
    <t>WATERPOLO FEMENÍ</t>
  </si>
  <si>
    <t>WATERPOLO MASCULÍ</t>
  </si>
  <si>
    <t>Esport i competició</t>
  </si>
  <si>
    <t>Pax màx.</t>
  </si>
  <si>
    <t>Pax addicional cat.</t>
  </si>
  <si>
    <t>Calcular entrenaments</t>
  </si>
  <si>
    <t>Calcular desplaçaments</t>
  </si>
  <si>
    <t>PAX màxim
+ PAX categoria</t>
  </si>
  <si>
    <t>PAX acceptat desplaçament i manutenció</t>
  </si>
  <si>
    <t>PAX acceptat entrenaments</t>
  </si>
  <si>
    <t>LLIGA REGULAR</t>
  </si>
  <si>
    <t>% nivell</t>
  </si>
  <si>
    <t>Calcular manutenció</t>
  </si>
  <si>
    <t>Pagar desplaz.</t>
  </si>
  <si>
    <t>Pagar entren.</t>
  </si>
  <si>
    <t>regular</t>
  </si>
  <si>
    <t>playoff</t>
  </si>
  <si>
    <t>MATEIXA ILLA</t>
  </si>
  <si>
    <t>UNA ALTRA ILLA</t>
  </si>
  <si>
    <t>Aerport/ port destí / illes</t>
  </si>
  <si>
    <t>Import manutenció sense pernocta</t>
  </si>
  <si>
    <t>Import manutenció AMB pernocta</t>
  </si>
  <si>
    <t>CICLISME</t>
  </si>
  <si>
    <t>GIMNÀSTICA ARTÍSTICA FEMENINA</t>
  </si>
  <si>
    <t>GIMNÀSTICA RÍTMICA</t>
  </si>
  <si>
    <t>NATACIÓ ARTÍSTICA</t>
  </si>
  <si>
    <t>GIMNÀSTICA RÍTMICA FEMENINA</t>
  </si>
  <si>
    <r>
      <t xml:space="preserve">Apartat C.1: </t>
    </r>
    <r>
      <rPr>
        <b/>
        <sz val="7"/>
        <color rgb="FFFF0000"/>
        <rFont val="Verdana"/>
        <family val="2"/>
      </rPr>
      <t>Import desplaçaments</t>
    </r>
    <r>
      <rPr>
        <sz val="7"/>
        <color rgb="FFFF0000"/>
        <rFont val="Verdana"/>
        <family val="2"/>
      </rPr>
      <t>.</t>
    </r>
  </si>
  <si>
    <r>
      <t xml:space="preserve">Apartat C.2: </t>
    </r>
    <r>
      <rPr>
        <b/>
        <sz val="7"/>
        <color rgb="FFFF0000"/>
        <rFont val="Verdana"/>
        <family val="2"/>
      </rPr>
      <t>Import manutenció</t>
    </r>
    <r>
      <rPr>
        <sz val="7"/>
        <color rgb="FFFF0000"/>
        <rFont val="Verdana"/>
        <family val="2"/>
      </rPr>
      <t>.</t>
    </r>
  </si>
  <si>
    <r>
      <t xml:space="preserve">Apartat C.4: </t>
    </r>
    <r>
      <rPr>
        <b/>
        <sz val="7"/>
        <color rgb="FFFF0000"/>
        <rFont val="Verdana"/>
        <family val="2"/>
      </rPr>
      <t>Import entrenaments</t>
    </r>
    <r>
      <rPr>
        <sz val="7"/>
        <color rgb="FFFF0000"/>
        <rFont val="Verdana"/>
        <family val="2"/>
      </rPr>
      <t>.</t>
    </r>
  </si>
  <si>
    <r>
      <t xml:space="preserve">Apartat C.7: </t>
    </r>
    <r>
      <rPr>
        <b/>
        <sz val="7"/>
        <color rgb="FFFF0000"/>
        <rFont val="Verdana"/>
        <family val="2"/>
      </rPr>
      <t>Import total del projecte.</t>
    </r>
  </si>
  <si>
    <t>Import transport terrestre</t>
  </si>
  <si>
    <r>
      <t xml:space="preserve">Apartat C.3: </t>
    </r>
    <r>
      <rPr>
        <b/>
        <sz val="7"/>
        <color rgb="FFFF0000"/>
        <rFont val="Verdana"/>
        <family val="2"/>
      </rPr>
      <t>Import transport intern</t>
    </r>
    <r>
      <rPr>
        <sz val="7"/>
        <color rgb="FFFF0000"/>
        <rFont val="Verdana"/>
        <family val="2"/>
      </rPr>
      <t>.</t>
    </r>
  </si>
  <si>
    <t>Manut. i transport</t>
  </si>
  <si>
    <t>selecció</t>
  </si>
  <si>
    <t>Import transport intern</t>
  </si>
  <si>
    <t>Desplaçaments
partits fora</t>
  </si>
  <si>
    <t>Manutenció
partits fora</t>
  </si>
  <si>
    <t>Transport terrestre 
partits fora</t>
  </si>
  <si>
    <t>Entrenaments tots els partits</t>
  </si>
  <si>
    <t>Divisió d'honor</t>
  </si>
  <si>
    <t>UCI Continental Team</t>
  </si>
  <si>
    <t>RUGBI FEMENÍ</t>
  </si>
  <si>
    <t>Nom perceptor</t>
  </si>
  <si>
    <t>CIF perceptor</t>
  </si>
  <si>
    <t>Import</t>
  </si>
  <si>
    <t>Clubs esportius de les Illes Balears amb equips d’esports individuals i col·lectius que participin en competicions de categoria nacional - Temporada 2024/2025</t>
  </si>
  <si>
    <t>Núm. factura</t>
  </si>
  <si>
    <t>JUDO</t>
  </si>
  <si>
    <t>Primera FEB</t>
  </si>
  <si>
    <t>Segona FEB</t>
  </si>
  <si>
    <t>Tercera FEB</t>
  </si>
  <si>
    <t>Primera Federació Iberdrola</t>
  </si>
  <si>
    <t>Segona Federació</t>
  </si>
  <si>
    <t>Tercera Federació</t>
  </si>
  <si>
    <t>Primera Federació Versus e-learing</t>
  </si>
  <si>
    <t>1ª Divisió Futbol Sala Iberdrola</t>
  </si>
  <si>
    <t xml:space="preserve">2ª Divisió Futbol Sala </t>
  </si>
  <si>
    <t>1ª Divisió Futbol Sala</t>
  </si>
  <si>
    <t>2ª Divisió Futbol Sala</t>
  </si>
  <si>
    <t>2ª B Divisió Futbol Sala</t>
  </si>
  <si>
    <t>Plata femení</t>
  </si>
  <si>
    <t>Nivell categoria</t>
  </si>
  <si>
    <t>Tercera divisió</t>
  </si>
  <si>
    <t>Primera categoria</t>
  </si>
  <si>
    <t>Segona categoria</t>
  </si>
  <si>
    <t>Superlliga (Lliga Iberdrola)</t>
  </si>
  <si>
    <t>Primera divisió (Lliga Iberdrola)</t>
  </si>
  <si>
    <t>1ª Categoria Nacional</t>
  </si>
  <si>
    <t>Check factura
(s'ha d'incloure
una factura del segon full)</t>
  </si>
  <si>
    <t>0 SI JUVENIL</t>
  </si>
  <si>
    <t>BÀSQUET CADIRA RODES</t>
  </si>
  <si>
    <t>ESBLANCO(I11)</t>
  </si>
  <si>
    <t>JUDO FEMENÍ</t>
  </si>
  <si>
    <t>JUDO MASCULí</t>
  </si>
  <si>
    <t>Lliga Iberdrola (divisió honor fem)</t>
  </si>
  <si>
    <t>Núm. Factura desplaçament</t>
  </si>
  <si>
    <t>Càlcul de l'import del projecte de desplaçaments, manutenció i entrenaments - clubs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</si>
</sst>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dd/mm/yyyy;@"/>
    <numFmt numFmtId="166" formatCode="00"/>
  </numFmts>
  <fonts count="24" x14ac:knownFonts="1">
    <font>
      <sz val="11"/>
      <color theme="1"/>
      <name val="Calibri"/>
      <family val="2"/>
      <scheme val="minor"/>
    </font>
    <font>
      <sz val="11"/>
      <color rgb="FF006100"/>
      <name val="Noto Sans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0" tint="-4.9989318521683403E-2"/>
      <name val="Verdana"/>
      <family val="2"/>
    </font>
    <font>
      <sz val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7"/>
      <color rgb="FFFF0000"/>
      <name val="Verdana"/>
      <family val="2"/>
    </font>
    <font>
      <b/>
      <sz val="7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1"/>
      <name val="Verdana"/>
      <family val="2"/>
    </font>
    <font>
      <b/>
      <sz val="10"/>
      <color theme="0" tint="-4.9989318521683403E-2"/>
      <name val="Verdana"/>
      <family val="2"/>
    </font>
    <font>
      <sz val="10"/>
      <color theme="1"/>
      <name val="Verdana"/>
      <family val="2"/>
    </font>
    <font>
      <sz val="8"/>
      <color theme="0" tint="-4.9989318521683403E-2"/>
      <name val="Verdana"/>
      <family val="2"/>
    </font>
    <font>
      <b/>
      <sz val="8"/>
      <color theme="0" tint="-4.9989318521683403E-2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9"/>
      <color rgb="FFFF0000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auto="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indexed="64"/>
      </right>
      <top style="medium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theme="0" tint="-0.2499465926084170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15">
    <xf numFmtId="0" fontId="0" fillId="0" borderId="0" xfId="0"/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vertical="center" wrapText="1"/>
      <protection locked="0"/>
    </xf>
    <xf numFmtId="165" fontId="5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right" vertical="center"/>
    </xf>
    <xf numFmtId="164" fontId="5" fillId="5" borderId="7" xfId="0" applyNumberFormat="1" applyFont="1" applyFill="1" applyBorder="1" applyAlignment="1">
      <alignment horizontal="right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3" fillId="8" borderId="0" xfId="0" applyNumberFormat="1" applyFont="1" applyFill="1" applyAlignment="1">
      <alignment horizontal="center" vertical="center"/>
    </xf>
    <xf numFmtId="164" fontId="3" fillId="8" borderId="7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164" fontId="2" fillId="0" borderId="10" xfId="0" applyNumberFormat="1" applyFont="1" applyBorder="1" applyAlignment="1" applyProtection="1">
      <alignment vertical="center"/>
      <protection locked="0"/>
    </xf>
    <xf numFmtId="0" fontId="10" fillId="3" borderId="1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8" fillId="5" borderId="6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right" vertical="center"/>
    </xf>
    <xf numFmtId="164" fontId="8" fillId="5" borderId="8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64" fontId="2" fillId="0" borderId="0" xfId="0" applyNumberFormat="1" applyFont="1" applyAlignment="1">
      <alignment vertical="center"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3" fillId="6" borderId="9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3" fillId="6" borderId="9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4" fillId="0" borderId="0" xfId="2" applyFont="1" applyAlignment="1">
      <alignment horizontal="center" vertical="center"/>
    </xf>
    <xf numFmtId="0" fontId="14" fillId="4" borderId="2" xfId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textRotation="90" wrapText="1"/>
    </xf>
    <xf numFmtId="0" fontId="6" fillId="3" borderId="0" xfId="0" applyFont="1" applyFill="1" applyAlignment="1">
      <alignment vertical="center" wrapText="1"/>
    </xf>
    <xf numFmtId="0" fontId="1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17" fillId="3" borderId="0" xfId="0" applyFont="1" applyFill="1" applyAlignment="1">
      <alignment vertical="center" wrapText="1"/>
    </xf>
    <xf numFmtId="44" fontId="17" fillId="3" borderId="0" xfId="3" applyFont="1" applyFill="1" applyAlignment="1">
      <alignment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6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8" xfId="0" applyFont="1" applyBorder="1" applyAlignment="1" applyProtection="1">
      <alignment horizontal="left" vertical="center" wrapText="1"/>
      <protection locked="0"/>
    </xf>
    <xf numFmtId="0" fontId="21" fillId="5" borderId="7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9" fontId="2" fillId="0" borderId="0" xfId="2" applyFont="1" applyAlignment="1">
      <alignment vertical="center"/>
    </xf>
    <xf numFmtId="9" fontId="3" fillId="0" borderId="0" xfId="2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textRotation="90" wrapText="1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164" fontId="23" fillId="3" borderId="0" xfId="0" applyNumberFormat="1" applyFont="1" applyFill="1" applyAlignment="1">
      <alignment horizontal="center" vertical="center"/>
    </xf>
    <xf numFmtId="14" fontId="2" fillId="0" borderId="10" xfId="0" applyNumberFormat="1" applyFont="1" applyBorder="1" applyAlignment="1" applyProtection="1">
      <alignment vertical="center"/>
      <protection locked="0"/>
    </xf>
    <xf numFmtId="0" fontId="5" fillId="4" borderId="3" xfId="1" applyFont="1" applyFill="1" applyBorder="1" applyAlignment="1" applyProtection="1">
      <alignment horizontal="left" vertical="center" wrapText="1"/>
      <protection locked="0"/>
    </xf>
    <xf numFmtId="0" fontId="5" fillId="4" borderId="4" xfId="1" applyFont="1" applyFill="1" applyBorder="1" applyAlignment="1" applyProtection="1">
      <alignment horizontal="left" vertical="center" wrapText="1"/>
      <protection locked="0"/>
    </xf>
    <xf numFmtId="0" fontId="14" fillId="4" borderId="3" xfId="1" applyFont="1" applyFill="1" applyBorder="1" applyAlignment="1" applyProtection="1">
      <alignment horizontal="left" vertical="center" wrapText="1"/>
      <protection locked="0"/>
    </xf>
    <xf numFmtId="0" fontId="14" fillId="4" borderId="20" xfId="1" applyFont="1" applyFill="1" applyBorder="1" applyAlignment="1" applyProtection="1">
      <alignment horizontal="left" vertical="center" wrapText="1"/>
      <protection locked="0"/>
    </xf>
    <xf numFmtId="0" fontId="14" fillId="4" borderId="4" xfId="1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left" vertical="center" wrapText="1"/>
    </xf>
  </cellXfs>
  <cellStyles count="4">
    <cellStyle name="Bueno" xfId="1" builtinId="26"/>
    <cellStyle name="Moneda" xfId="3" builtinId="4"/>
    <cellStyle name="Normal" xfId="0" builtinId="0"/>
    <cellStyle name="Porcentaje" xfId="2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/>
        </patternFill>
      </fill>
    </dxf>
    <dxf>
      <fill>
        <patternFill>
          <bgColor theme="8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0"/>
        <color theme="0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numFmt numFmtId="164" formatCode="#,##0.00\ &quot;€&quot;"/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alignment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168090</xdr:rowOff>
    </xdr:from>
    <xdr:to>
      <xdr:col>1</xdr:col>
      <xdr:colOff>1135296</xdr:colOff>
      <xdr:row>1</xdr:row>
      <xdr:rowOff>280148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8AF646-1236-9946-460A-0B853074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3" y="168090"/>
          <a:ext cx="2311914" cy="6611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A81:AE140" totalsRowShown="0" headerRowDxfId="30" dataDxfId="29">
  <autoFilter ref="AA81:AE140" xr:uid="{00000000-0009-0000-0100-000001000000}"/>
  <sortState xmlns:xlrd2="http://schemas.microsoft.com/office/spreadsheetml/2017/richdata2" ref="AA82:AE138">
    <sortCondition ref="AA82:AA138"/>
    <sortCondition ref="AB82:AB138"/>
  </sortState>
  <tableColumns count="5">
    <tableColumn id="1" xr3:uid="{00000000-0010-0000-0000-000001000000}" name="Origen" dataDxfId="28"/>
    <tableColumn id="2" xr3:uid="{00000000-0010-0000-0000-000002000000}" name="Destí" dataDxfId="27"/>
    <tableColumn id="3" xr3:uid="{00000000-0010-0000-0000-000003000000}" name="Origen-destí" dataDxfId="26">
      <calculatedColumnFormula>AA82 &amp; "-" &amp; AB82</calculatedColumnFormula>
    </tableColumn>
    <tableColumn id="5" xr3:uid="{00000000-0010-0000-0000-000005000000}" name="Imports" dataDxfId="25"/>
    <tableColumn id="4" xr3:uid="{00000000-0010-0000-0000-000004000000}" name="Pern." dataDxfId="24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G81:AH106" totalsRowShown="0" headerRowDxfId="23" dataDxfId="22">
  <tableColumns count="2">
    <tableColumn id="1" xr3:uid="{00000000-0010-0000-0100-000001000000}" name="Esport" dataDxfId="21"/>
    <tableColumn id="2" xr3:uid="{00000000-0010-0000-0100-000002000000}" name="PAX" dataDxfId="2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25" displayName="Tabla25" ref="AL81:AW177" totalsRowShown="0" headerRowDxfId="19" dataDxfId="18">
  <autoFilter ref="AL81:AW177" xr:uid="{00000000-0009-0000-0100-000004000000}"/>
  <sortState xmlns:xlrd2="http://schemas.microsoft.com/office/spreadsheetml/2017/richdata2" ref="AL82:AW177">
    <sortCondition ref="AL82:AL177"/>
    <sortCondition ref="AP82:AP177"/>
  </sortState>
  <tableColumns count="12">
    <tableColumn id="1" xr3:uid="{00000000-0010-0000-0200-000001000000}" name="Esport i sexe" dataDxfId="17"/>
    <tableColumn id="2" xr3:uid="{00000000-0010-0000-0200-000002000000}" name="Categoria" dataDxfId="16"/>
    <tableColumn id="7" xr3:uid="{00000000-0010-0000-0200-000007000000}" name="Esport, sexe i categoria" dataDxfId="15">
      <calculatedColumnFormula>Tabla25[[#This Row],[Esport i sexe]] &amp; " - " &amp; Tabla25[[#This Row],[Categoria]]</calculatedColumnFormula>
    </tableColumn>
    <tableColumn id="6" xr3:uid="{00000000-0010-0000-0200-000006000000}" name="Esport" dataDxfId="14"/>
    <tableColumn id="3" xr3:uid="{00000000-0010-0000-0200-000003000000}" name="Nivell categoria" dataDxfId="13"/>
    <tableColumn id="11" xr3:uid="{00000000-0010-0000-0200-00000B000000}" name="% nivell" dataDxfId="12" dataCellStyle="Porcentaje"/>
    <tableColumn id="12" xr3:uid="{00000000-0010-0000-0200-00000C000000}" name="Calcular desplaçaments" dataDxfId="11"/>
    <tableColumn id="14" xr3:uid="{00000000-0010-0000-0200-00000E000000}" name="Calcular manutenció" dataDxfId="10"/>
    <tableColumn id="13" xr3:uid="{00000000-0010-0000-0200-00000D000000}" name="Calcular entrenaments" dataDxfId="9"/>
    <tableColumn id="5" xr3:uid="{00000000-0010-0000-0200-000005000000}" name="Pax" dataDxfId="8">
      <calculatedColumnFormula>VLOOKUP(Tabla25[[#This Row],[Esport]],Tabla2[],2,FALSE)</calculatedColumnFormula>
    </tableColumn>
    <tableColumn id="4" xr3:uid="{00000000-0010-0000-0200-000004000000}" name="Pax addicional cat." dataDxfId="7"/>
    <tableColumn id="10" xr3:uid="{00000000-0010-0000-0200-00000A000000}" name="Pax màx." dataDxfId="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44"/>
  <sheetViews>
    <sheetView showGridLines="0" tabSelected="1" topLeftCell="A2" zoomScale="85" zoomScaleNormal="85" zoomScaleSheetLayoutView="100" workbookViewId="0">
      <selection activeCell="D11" sqref="D11"/>
    </sheetView>
  </sheetViews>
  <sheetFormatPr baseColWidth="10" defaultColWidth="11.42578125" defaultRowHeight="12.75" x14ac:dyDescent="0.25"/>
  <cols>
    <col min="1" max="1" width="17.7109375" style="31" customWidth="1"/>
    <col min="2" max="2" width="21.28515625" style="5" customWidth="1"/>
    <col min="3" max="4" width="19.5703125" style="5" customWidth="1"/>
    <col min="5" max="5" width="22.28515625" style="5" customWidth="1"/>
    <col min="6" max="6" width="19.7109375" style="5" customWidth="1"/>
    <col min="7" max="7" width="21.42578125" style="5" customWidth="1"/>
    <col min="8" max="8" width="17" style="31" customWidth="1"/>
    <col min="9" max="9" width="16.140625" style="31" customWidth="1"/>
    <col min="10" max="10" width="20.42578125" style="31" customWidth="1"/>
    <col min="11" max="11" width="15.85546875" style="31" customWidth="1"/>
    <col min="12" max="12" width="15.28515625" style="31" customWidth="1"/>
    <col min="13" max="13" width="14.85546875" style="30" customWidth="1"/>
    <col min="14" max="14" width="15.7109375" style="30" customWidth="1"/>
    <col min="15" max="15" width="14.85546875" style="30" customWidth="1"/>
    <col min="16" max="16" width="13.42578125" style="30" bestFit="1" customWidth="1"/>
    <col min="17" max="17" width="12.140625" style="31" bestFit="1" customWidth="1"/>
    <col min="18" max="18" width="12.5703125" style="31" bestFit="1" customWidth="1"/>
    <col min="19" max="19" width="15.5703125" style="31" hidden="1" customWidth="1"/>
    <col min="20" max="21" width="17" style="31" hidden="1" customWidth="1"/>
    <col min="22" max="22" width="26.5703125" style="31" hidden="1" customWidth="1"/>
    <col min="23" max="23" width="14.42578125" style="31" hidden="1" customWidth="1"/>
    <col min="24" max="24" width="14.85546875" style="30" hidden="1" customWidth="1"/>
    <col min="25" max="25" width="24.5703125" style="30" hidden="1" customWidth="1"/>
    <col min="26" max="26" width="25.85546875" style="5" customWidth="1"/>
    <col min="27" max="27" width="11.7109375" style="5" hidden="1" customWidth="1"/>
    <col min="28" max="28" width="22" style="5" hidden="1" customWidth="1"/>
    <col min="29" max="29" width="33.7109375" style="30" hidden="1" customWidth="1"/>
    <col min="30" max="30" width="12.5703125" style="5" hidden="1" customWidth="1"/>
    <col min="31" max="31" width="9.5703125" style="5" hidden="1" customWidth="1"/>
    <col min="32" max="33" width="38.5703125" style="5" hidden="1" customWidth="1"/>
    <col min="34" max="34" width="3.5703125" style="5" hidden="1" customWidth="1"/>
    <col min="35" max="36" width="35.28515625" style="5" hidden="1" customWidth="1"/>
    <col min="37" max="38" width="50.28515625" style="5" hidden="1" customWidth="1"/>
    <col min="39" max="39" width="43.140625" style="5" hidden="1" customWidth="1"/>
    <col min="40" max="40" width="84.140625" style="5" hidden="1" customWidth="1"/>
    <col min="41" max="41" width="38.5703125" style="5" hidden="1" customWidth="1"/>
    <col min="42" max="42" width="24" style="31" hidden="1" customWidth="1"/>
    <col min="43" max="43" width="15.5703125" style="100" hidden="1" customWidth="1"/>
    <col min="44" max="45" width="11" style="5" hidden="1" customWidth="1"/>
    <col min="46" max="46" width="11" style="31" hidden="1" customWidth="1"/>
    <col min="47" max="47" width="8.7109375" style="31" hidden="1" customWidth="1"/>
    <col min="48" max="48" width="11" style="102" hidden="1" customWidth="1"/>
    <col min="49" max="49" width="8.7109375" style="5" hidden="1" customWidth="1"/>
    <col min="50" max="60" width="8.28515625" style="5" customWidth="1"/>
    <col min="61" max="61" width="8.5703125" style="5" customWidth="1"/>
    <col min="62" max="62" width="8.28515625" style="5" customWidth="1"/>
    <col min="63" max="63" width="11.5703125" style="5" customWidth="1"/>
    <col min="64" max="16384" width="11.42578125" style="5"/>
  </cols>
  <sheetData>
    <row r="1" spans="1:50" ht="43.5" customHeight="1" x14ac:dyDescent="0.25">
      <c r="A1" s="4"/>
      <c r="B1" s="4"/>
      <c r="C1" s="56" t="s">
        <v>220</v>
      </c>
      <c r="D1" s="56"/>
      <c r="E1" s="56"/>
      <c r="F1" s="56"/>
      <c r="G1" s="56"/>
      <c r="H1" s="56"/>
      <c r="I1" s="56"/>
      <c r="J1" s="57"/>
      <c r="K1" s="57"/>
      <c r="L1" s="89"/>
      <c r="M1" s="82" t="s">
        <v>163</v>
      </c>
      <c r="N1" s="83">
        <v>26.67</v>
      </c>
      <c r="O1" s="82" t="s">
        <v>178</v>
      </c>
      <c r="P1" s="83">
        <v>20</v>
      </c>
      <c r="Q1" s="89"/>
      <c r="R1" s="89"/>
      <c r="S1" s="104"/>
      <c r="T1" s="75"/>
      <c r="U1" s="75"/>
      <c r="V1" s="75"/>
      <c r="W1" s="89"/>
      <c r="X1" s="89"/>
      <c r="Y1" s="93"/>
      <c r="Z1" s="93"/>
    </row>
    <row r="2" spans="1:50" ht="36.75" customHeight="1" x14ac:dyDescent="0.25">
      <c r="A2" s="4"/>
      <c r="B2" s="4"/>
      <c r="C2" s="114" t="s">
        <v>189</v>
      </c>
      <c r="D2" s="114"/>
      <c r="E2" s="114"/>
      <c r="F2" s="114"/>
      <c r="G2" s="114"/>
      <c r="H2" s="12"/>
      <c r="I2" s="82"/>
      <c r="J2" s="82"/>
      <c r="K2" s="82"/>
      <c r="L2" s="82"/>
      <c r="M2" s="82" t="s">
        <v>164</v>
      </c>
      <c r="N2" s="83">
        <v>53.34</v>
      </c>
      <c r="O2" s="82"/>
      <c r="P2" s="74"/>
      <c r="Q2" s="74"/>
      <c r="R2" s="74"/>
      <c r="S2" s="105"/>
      <c r="T2" s="90"/>
      <c r="U2" s="90"/>
      <c r="V2" s="90"/>
      <c r="W2" s="91"/>
      <c r="X2" s="91"/>
      <c r="Y2" s="93"/>
      <c r="Z2" s="93"/>
    </row>
    <row r="3" spans="1:50" ht="9.9499999999999993" customHeight="1" thickBot="1" x14ac:dyDescent="0.3">
      <c r="A3" s="4"/>
      <c r="B3" s="4"/>
      <c r="C3" s="65"/>
      <c r="D3" s="65"/>
      <c r="E3" s="65"/>
      <c r="F3" s="65"/>
      <c r="G3" s="65"/>
      <c r="H3" s="12"/>
      <c r="I3" s="12"/>
      <c r="J3" s="10"/>
      <c r="K3" s="10"/>
      <c r="L3" s="74"/>
      <c r="M3" s="82"/>
      <c r="N3" s="83"/>
      <c r="O3" s="82"/>
      <c r="P3" s="74"/>
      <c r="Q3" s="74"/>
      <c r="R3" s="74"/>
      <c r="S3" s="105"/>
      <c r="T3" s="90"/>
      <c r="U3" s="90"/>
      <c r="V3" s="90"/>
      <c r="W3" s="91"/>
      <c r="X3" s="91"/>
      <c r="Y3" s="93"/>
      <c r="Z3" s="93"/>
    </row>
    <row r="4" spans="1:50" ht="36" customHeight="1" thickBot="1" x14ac:dyDescent="0.3">
      <c r="A4" s="4" t="s">
        <v>50</v>
      </c>
      <c r="B4" s="109"/>
      <c r="C4" s="110"/>
      <c r="D4" s="10" t="s">
        <v>11</v>
      </c>
      <c r="E4" s="72"/>
      <c r="F4" s="7" t="s">
        <v>179</v>
      </c>
      <c r="G4" s="77">
        <f>IF(AND(P$6=0,NOT(ISBLANK(B6))),"DESPESA NO SUBVENCIONABLE",N31)</f>
        <v>0</v>
      </c>
      <c r="H4" s="42" t="s">
        <v>170</v>
      </c>
      <c r="I4" s="7" t="s">
        <v>181</v>
      </c>
      <c r="J4" s="77">
        <f>IF(AND(P$6=0,NOT(ISBLANK(B6))),"DESPESA NO SUBVENCIONABLE",M31)</f>
        <v>0</v>
      </c>
      <c r="K4" s="42" t="s">
        <v>175</v>
      </c>
      <c r="L4" s="74"/>
      <c r="M4" s="82" t="s">
        <v>53</v>
      </c>
      <c r="N4" s="83">
        <v>26.67</v>
      </c>
      <c r="O4" s="82"/>
      <c r="P4" s="74"/>
      <c r="Q4" s="74"/>
      <c r="R4" s="74"/>
      <c r="S4" s="106"/>
      <c r="T4" s="92"/>
      <c r="U4" s="92"/>
      <c r="V4" s="92"/>
      <c r="W4" s="93"/>
      <c r="X4" s="93"/>
      <c r="Y4" s="93"/>
      <c r="Z4" s="93"/>
    </row>
    <row r="5" spans="1:50" ht="9.9499999999999993" customHeight="1" thickBot="1" x14ac:dyDescent="0.3">
      <c r="A5" s="4"/>
      <c r="B5" s="4"/>
      <c r="C5" s="4"/>
      <c r="D5" s="10"/>
      <c r="E5" s="4"/>
      <c r="F5" s="7"/>
      <c r="G5" s="11"/>
      <c r="H5" s="58"/>
      <c r="I5" s="58"/>
      <c r="J5" s="8"/>
      <c r="K5" s="58"/>
      <c r="L5" s="74"/>
      <c r="M5" s="84"/>
      <c r="N5" s="85" t="s">
        <v>158</v>
      </c>
      <c r="O5" s="85" t="s">
        <v>159</v>
      </c>
      <c r="P5" s="85" t="s">
        <v>177</v>
      </c>
      <c r="Q5" s="74"/>
      <c r="R5" s="74"/>
      <c r="S5" s="106"/>
      <c r="T5" s="92"/>
      <c r="U5" s="92"/>
      <c r="V5" s="92"/>
      <c r="W5" s="93"/>
      <c r="X5" s="93"/>
      <c r="Y5" s="93"/>
      <c r="Z5" s="93"/>
    </row>
    <row r="6" spans="1:50" ht="36" customHeight="1" thickBot="1" x14ac:dyDescent="0.3">
      <c r="A6" s="65" t="s">
        <v>145</v>
      </c>
      <c r="B6" s="111"/>
      <c r="C6" s="112"/>
      <c r="D6" s="112"/>
      <c r="E6" s="113"/>
      <c r="F6" s="7" t="s">
        <v>180</v>
      </c>
      <c r="G6" s="77">
        <f>IF(AND(P$7=0,NOT(ISBLANK(B6))),"DESPESA NO SUBVENCIONABLE",O31)</f>
        <v>0</v>
      </c>
      <c r="H6" s="42" t="s">
        <v>171</v>
      </c>
      <c r="I6" s="7" t="s">
        <v>182</v>
      </c>
      <c r="J6" s="77">
        <f>IF(AND(P$8=0,NOT(ISBLANK(B6))),"DESPESA NO SUBVENCIONABLE",Q31)</f>
        <v>0</v>
      </c>
      <c r="K6" s="42" t="s">
        <v>172</v>
      </c>
      <c r="L6" s="74"/>
      <c r="M6" s="82" t="s">
        <v>156</v>
      </c>
      <c r="N6" s="86">
        <f>IFERROR(VLOOKUP(B6,AN$82:AW$177,5,FALSE),0)</f>
        <v>0</v>
      </c>
      <c r="O6" s="86">
        <f>N6*Q7</f>
        <v>0</v>
      </c>
      <c r="P6" s="86">
        <f>IF(B$8="LLIGA REGULAR",N6,O6)</f>
        <v>0</v>
      </c>
      <c r="Q6" s="78" t="s">
        <v>213</v>
      </c>
      <c r="R6" s="78"/>
      <c r="S6" s="106"/>
      <c r="T6" s="92"/>
      <c r="U6" s="92"/>
      <c r="V6" s="92"/>
      <c r="W6" s="93"/>
      <c r="X6" s="93"/>
      <c r="Y6" s="93"/>
      <c r="Z6" s="93"/>
    </row>
    <row r="7" spans="1:50" ht="9.9499999999999993" customHeight="1" thickBot="1" x14ac:dyDescent="0.3">
      <c r="A7" s="12"/>
      <c r="B7" s="12"/>
      <c r="C7" s="4"/>
      <c r="D7" s="10"/>
      <c r="E7" s="4"/>
      <c r="F7" s="7"/>
      <c r="G7" s="11"/>
      <c r="H7" s="58"/>
      <c r="I7" s="58"/>
      <c r="J7" s="8"/>
      <c r="K7" s="43"/>
      <c r="L7" s="74"/>
      <c r="M7" s="82" t="s">
        <v>176</v>
      </c>
      <c r="N7" s="86">
        <f>IFERROR(VLOOKUP(B6,AN$82:AW$177,6,FALSE),0)</f>
        <v>0</v>
      </c>
      <c r="O7" s="86">
        <f>N7*Q7</f>
        <v>0</v>
      </c>
      <c r="P7" s="86">
        <f>IF(B$8="LLIGA REGULAR",N7,O7*Q7)</f>
        <v>0</v>
      </c>
      <c r="Q7" s="76">
        <f>IF(IFERROR(SEARCH("JUVENIL",B$6,1),0)&gt;0,0,1)</f>
        <v>1</v>
      </c>
      <c r="R7" s="76"/>
      <c r="S7" s="106"/>
      <c r="T7" s="92"/>
      <c r="U7" s="92"/>
      <c r="V7" s="92"/>
      <c r="W7" s="93"/>
      <c r="X7" s="93"/>
      <c r="Y7" s="93"/>
      <c r="Z7" s="93"/>
    </row>
    <row r="8" spans="1:50" ht="36" customHeight="1" thickBot="1" x14ac:dyDescent="0.3">
      <c r="A8" s="14" t="s">
        <v>74</v>
      </c>
      <c r="B8" s="111"/>
      <c r="C8" s="113"/>
      <c r="D8" s="4"/>
      <c r="E8" s="4"/>
      <c r="F8" s="4"/>
      <c r="G8" s="4"/>
      <c r="H8" s="4"/>
      <c r="I8" s="7" t="s">
        <v>49</v>
      </c>
      <c r="J8" s="77">
        <f>SUM(G4,G6,J4,J6)</f>
        <v>0</v>
      </c>
      <c r="K8" s="42" t="s">
        <v>173</v>
      </c>
      <c r="L8" s="74"/>
      <c r="M8" s="82" t="s">
        <v>157</v>
      </c>
      <c r="N8" s="86">
        <f>IFERROR(VLOOKUP(B6,AN$82:AW$177,7,FALSE),0)</f>
        <v>0</v>
      </c>
      <c r="O8" s="86">
        <v>0</v>
      </c>
      <c r="P8" s="86">
        <f t="shared" ref="P8" si="0">IF(B$8="LLIGA REGULAR",N8,O8)</f>
        <v>0</v>
      </c>
      <c r="Q8" s="76"/>
      <c r="R8" s="74"/>
      <c r="S8" s="107"/>
      <c r="T8" s="92"/>
      <c r="U8" s="92"/>
      <c r="V8" s="92"/>
      <c r="W8" s="93"/>
      <c r="X8" s="93"/>
      <c r="Y8" s="93"/>
      <c r="Z8" s="93"/>
    </row>
    <row r="9" spans="1:50" ht="9.9499999999999993" customHeight="1" x14ac:dyDescent="0.25">
      <c r="A9" s="15"/>
      <c r="B9" s="12"/>
      <c r="C9" s="13"/>
      <c r="D9" s="16"/>
      <c r="E9" s="10"/>
      <c r="F9" s="10"/>
      <c r="G9" s="10"/>
      <c r="H9" s="4"/>
      <c r="I9" s="4"/>
      <c r="J9" s="9"/>
      <c r="K9" s="9"/>
      <c r="L9" s="81"/>
      <c r="M9" s="81"/>
      <c r="N9" s="81"/>
      <c r="O9" s="81"/>
      <c r="P9" s="81"/>
      <c r="Q9" s="13"/>
      <c r="R9" s="13"/>
      <c r="S9" s="87"/>
      <c r="T9" s="87"/>
      <c r="U9" s="87"/>
      <c r="V9" s="87"/>
      <c r="W9" s="81"/>
      <c r="X9" s="81"/>
      <c r="Y9" s="93"/>
      <c r="Z9" s="93"/>
    </row>
    <row r="10" spans="1:50" s="6" customFormat="1" ht="51" x14ac:dyDescent="0.25">
      <c r="A10" s="34" t="s">
        <v>63</v>
      </c>
      <c r="B10" s="17" t="s">
        <v>64</v>
      </c>
      <c r="C10" s="18" t="s">
        <v>66</v>
      </c>
      <c r="D10" s="18" t="s">
        <v>65</v>
      </c>
      <c r="E10" s="18" t="s">
        <v>7</v>
      </c>
      <c r="F10" s="18" t="s">
        <v>6</v>
      </c>
      <c r="G10" s="18" t="s">
        <v>162</v>
      </c>
      <c r="H10" s="19" t="s">
        <v>81</v>
      </c>
      <c r="I10" s="19" t="s">
        <v>219</v>
      </c>
      <c r="J10" s="19" t="s">
        <v>212</v>
      </c>
      <c r="K10" s="19" t="s">
        <v>151</v>
      </c>
      <c r="L10" s="17" t="s">
        <v>57</v>
      </c>
      <c r="M10" s="17" t="s">
        <v>174</v>
      </c>
      <c r="N10" s="88" t="s">
        <v>59</v>
      </c>
      <c r="O10" s="88" t="s">
        <v>5</v>
      </c>
      <c r="P10" s="19" t="s">
        <v>152</v>
      </c>
      <c r="Q10" s="17" t="s">
        <v>53</v>
      </c>
      <c r="R10" s="20" t="s">
        <v>4</v>
      </c>
      <c r="S10" s="19" t="s">
        <v>51</v>
      </c>
      <c r="T10" s="19" t="s">
        <v>150</v>
      </c>
      <c r="U10" s="19" t="s">
        <v>58</v>
      </c>
      <c r="V10" s="17" t="s">
        <v>44</v>
      </c>
      <c r="W10" s="17" t="s">
        <v>60</v>
      </c>
      <c r="X10" s="17" t="s">
        <v>61</v>
      </c>
      <c r="Y10" s="20" t="s">
        <v>62</v>
      </c>
      <c r="Z10" s="21" t="s">
        <v>3</v>
      </c>
      <c r="AE10" s="55"/>
      <c r="AM10" s="5"/>
      <c r="AN10" s="5"/>
      <c r="AO10" s="5"/>
      <c r="AP10" s="31"/>
      <c r="AQ10" s="100"/>
      <c r="AR10" s="5"/>
      <c r="AS10" s="5"/>
      <c r="AT10" s="5"/>
      <c r="AU10" s="5"/>
      <c r="AV10" s="102"/>
      <c r="AW10" s="31"/>
      <c r="AX10" s="66"/>
    </row>
    <row r="11" spans="1:50" ht="39" customHeight="1" x14ac:dyDescent="0.25">
      <c r="A11" s="32"/>
      <c r="B11" s="1"/>
      <c r="C11" s="3"/>
      <c r="D11" s="3"/>
      <c r="E11" s="2"/>
      <c r="F11" s="2"/>
      <c r="G11" s="2"/>
      <c r="H11" s="33"/>
      <c r="I11" s="33"/>
      <c r="J11" s="98" t="str">
        <f>IF(AND(ISBLANK(I11),N11&gt;0),"FALTA INDICAR NÚM. FACTURA",IF(ISBLANK(A11),"","ok"))</f>
        <v/>
      </c>
      <c r="K11" s="22">
        <f t="shared" ref="K11:K15" si="1">IF(ISBLANK(H11),0,MIN(H11,T11))</f>
        <v>0</v>
      </c>
      <c r="L11" s="23">
        <f>U11</f>
        <v>0</v>
      </c>
      <c r="M11" s="24">
        <f>IF(ISBLANK($A11),0,IF(OR($A11="A CASA",G11="MATEIXA ILLA"),0,P$1*P11))*P$7</f>
        <v>0</v>
      </c>
      <c r="N11" s="24">
        <f t="shared" ref="N11:N30" si="2">IF(ISBLANK($A11),0,IF($A11="A CASA",0,X11*K11))*P$6</f>
        <v>0</v>
      </c>
      <c r="O11" s="24">
        <f t="shared" ref="O11:O30" si="3">IF(ISBLANK($A11),0,IF($A11="A CASA",0,Y11*K11))*P$7</f>
        <v>0</v>
      </c>
      <c r="P11" s="22">
        <f t="shared" ref="P11:P30" si="4">IF(ISBLANK(H11),0,MIN(H11,S11))</f>
        <v>0</v>
      </c>
      <c r="Q11" s="24">
        <f t="shared" ref="Q11:Q30" si="5">P11*N$4*P$8</f>
        <v>0</v>
      </c>
      <c r="R11" s="25">
        <f>M11+N11+O11+Q11</f>
        <v>0</v>
      </c>
      <c r="S11" s="26">
        <f t="shared" ref="S11:S30" si="6">IFERROR(VLOOKUP($B$6,AN$82:AW$177,8,FALSE),0)</f>
        <v>0</v>
      </c>
      <c r="T11" s="26">
        <f t="shared" ref="T11:T30" si="7">IFERROR(VLOOKUP($B$6,AN$82:AW$177,10,FALSE),0)</f>
        <v>0</v>
      </c>
      <c r="U11" s="26">
        <f t="shared" ref="U11:U30" si="8">MAX(0,INT(D11-C11))</f>
        <v>0</v>
      </c>
      <c r="V11" s="27" t="str">
        <f t="shared" ref="V11:V30" si="9">IF(E$4="FORMENTERA","EIVISSA",E$4) &amp; "-" &amp; G11</f>
        <v>-</v>
      </c>
      <c r="W11" s="26">
        <f t="shared" ref="W11:W30" si="10">IFERROR(VLOOKUP(V11,$AC$82:$AE$138,3,),0)</f>
        <v>0</v>
      </c>
      <c r="X11" s="28">
        <f t="shared" ref="X11:X30" si="11">IFERROR(VLOOKUP(V11,$AC$82:$AE$138,2,),0)</f>
        <v>0</v>
      </c>
      <c r="Y11" s="29">
        <f t="shared" ref="Y11:Y30" si="12">IF(OR(G11="MATEIXA ILLA",ISBLANK(G11)),0,IF(L11=0,N$1,L11*N$2))</f>
        <v>0</v>
      </c>
      <c r="Z11" s="97"/>
      <c r="AA11" s="59"/>
      <c r="AC11" s="5"/>
      <c r="AE11" s="30"/>
      <c r="AT11" s="5"/>
      <c r="AU11" s="5"/>
      <c r="AW11" s="31"/>
      <c r="AX11" s="31"/>
    </row>
    <row r="12" spans="1:50" ht="39" customHeight="1" x14ac:dyDescent="0.25">
      <c r="A12" s="32"/>
      <c r="B12" s="1"/>
      <c r="C12" s="3"/>
      <c r="D12" s="3"/>
      <c r="E12" s="2"/>
      <c r="F12" s="2"/>
      <c r="G12" s="2"/>
      <c r="H12" s="33"/>
      <c r="I12" s="33"/>
      <c r="J12" s="98" t="str">
        <f t="shared" ref="J12:J30" si="13">IF(AND(ISBLANK(I12),N12&gt;0),"FALTA INDICAR NÚM. FACTURA",IF(ISBLANK(A12),"","ok"))</f>
        <v/>
      </c>
      <c r="K12" s="22">
        <f t="shared" si="1"/>
        <v>0</v>
      </c>
      <c r="L12" s="23">
        <f t="shared" ref="L12:L30" si="14">U12</f>
        <v>0</v>
      </c>
      <c r="M12" s="24">
        <f t="shared" ref="M12:M30" si="15">IF(ISBLANK($A12),0,IF(OR($A12="A CASA",G12="MATEIXA ILLA"),0,P$1*P12))*P$7</f>
        <v>0</v>
      </c>
      <c r="N12" s="24">
        <f t="shared" si="2"/>
        <v>0</v>
      </c>
      <c r="O12" s="24">
        <f t="shared" si="3"/>
        <v>0</v>
      </c>
      <c r="P12" s="22">
        <f t="shared" si="4"/>
        <v>0</v>
      </c>
      <c r="Q12" s="24">
        <f t="shared" si="5"/>
        <v>0</v>
      </c>
      <c r="R12" s="25">
        <f t="shared" ref="R12:R30" si="16">M12+N12+O12+Q12</f>
        <v>0</v>
      </c>
      <c r="S12" s="26">
        <f t="shared" si="6"/>
        <v>0</v>
      </c>
      <c r="T12" s="26">
        <f t="shared" si="7"/>
        <v>0</v>
      </c>
      <c r="U12" s="26">
        <f t="shared" si="8"/>
        <v>0</v>
      </c>
      <c r="V12" s="27" t="str">
        <f t="shared" si="9"/>
        <v>-</v>
      </c>
      <c r="W12" s="26">
        <f t="shared" si="10"/>
        <v>0</v>
      </c>
      <c r="X12" s="28">
        <f t="shared" si="11"/>
        <v>0</v>
      </c>
      <c r="Y12" s="29">
        <f t="shared" si="12"/>
        <v>0</v>
      </c>
      <c r="Z12" s="97"/>
      <c r="AA12" s="30"/>
      <c r="AC12" s="5"/>
      <c r="AE12" s="30"/>
      <c r="AT12" s="5"/>
      <c r="AU12" s="5"/>
      <c r="AW12" s="31"/>
      <c r="AX12" s="31"/>
    </row>
    <row r="13" spans="1:50" ht="39" customHeight="1" x14ac:dyDescent="0.25">
      <c r="A13" s="32"/>
      <c r="B13" s="1"/>
      <c r="C13" s="3"/>
      <c r="D13" s="3"/>
      <c r="E13" s="2"/>
      <c r="F13" s="2"/>
      <c r="G13" s="2"/>
      <c r="H13" s="33"/>
      <c r="I13" s="33"/>
      <c r="J13" s="98" t="str">
        <f t="shared" si="13"/>
        <v/>
      </c>
      <c r="K13" s="22">
        <f t="shared" si="1"/>
        <v>0</v>
      </c>
      <c r="L13" s="23">
        <f t="shared" si="14"/>
        <v>0</v>
      </c>
      <c r="M13" s="24">
        <f t="shared" si="15"/>
        <v>0</v>
      </c>
      <c r="N13" s="24">
        <f t="shared" si="2"/>
        <v>0</v>
      </c>
      <c r="O13" s="24">
        <f t="shared" si="3"/>
        <v>0</v>
      </c>
      <c r="P13" s="22">
        <f t="shared" si="4"/>
        <v>0</v>
      </c>
      <c r="Q13" s="24">
        <f t="shared" si="5"/>
        <v>0</v>
      </c>
      <c r="R13" s="25">
        <f t="shared" si="16"/>
        <v>0</v>
      </c>
      <c r="S13" s="26">
        <f t="shared" si="6"/>
        <v>0</v>
      </c>
      <c r="T13" s="26">
        <f t="shared" si="7"/>
        <v>0</v>
      </c>
      <c r="U13" s="26">
        <f t="shared" si="8"/>
        <v>0</v>
      </c>
      <c r="V13" s="27" t="str">
        <f t="shared" si="9"/>
        <v>-</v>
      </c>
      <c r="W13" s="26">
        <f t="shared" si="10"/>
        <v>0</v>
      </c>
      <c r="X13" s="28">
        <f t="shared" si="11"/>
        <v>0</v>
      </c>
      <c r="Y13" s="29">
        <f t="shared" si="12"/>
        <v>0</v>
      </c>
      <c r="Z13" s="97"/>
      <c r="AA13" s="30"/>
      <c r="AC13" s="5"/>
      <c r="AE13" s="30"/>
      <c r="AT13" s="5"/>
      <c r="AU13" s="5"/>
      <c r="AW13" s="31"/>
      <c r="AX13" s="31"/>
    </row>
    <row r="14" spans="1:50" ht="39" customHeight="1" x14ac:dyDescent="0.25">
      <c r="A14" s="32"/>
      <c r="B14" s="1"/>
      <c r="C14" s="3"/>
      <c r="D14" s="3"/>
      <c r="E14" s="2"/>
      <c r="F14" s="2"/>
      <c r="G14" s="2"/>
      <c r="H14" s="33"/>
      <c r="I14" s="33"/>
      <c r="J14" s="98" t="str">
        <f t="shared" si="13"/>
        <v/>
      </c>
      <c r="K14" s="22">
        <f t="shared" si="1"/>
        <v>0</v>
      </c>
      <c r="L14" s="23">
        <f t="shared" si="14"/>
        <v>0</v>
      </c>
      <c r="M14" s="24">
        <f t="shared" si="15"/>
        <v>0</v>
      </c>
      <c r="N14" s="24">
        <f t="shared" si="2"/>
        <v>0</v>
      </c>
      <c r="O14" s="24">
        <f t="shared" si="3"/>
        <v>0</v>
      </c>
      <c r="P14" s="22">
        <f t="shared" si="4"/>
        <v>0</v>
      </c>
      <c r="Q14" s="24">
        <f t="shared" si="5"/>
        <v>0</v>
      </c>
      <c r="R14" s="25">
        <f t="shared" si="16"/>
        <v>0</v>
      </c>
      <c r="S14" s="26">
        <f t="shared" si="6"/>
        <v>0</v>
      </c>
      <c r="T14" s="26">
        <f t="shared" si="7"/>
        <v>0</v>
      </c>
      <c r="U14" s="26">
        <f t="shared" si="8"/>
        <v>0</v>
      </c>
      <c r="V14" s="27" t="str">
        <f t="shared" si="9"/>
        <v>-</v>
      </c>
      <c r="W14" s="26">
        <f t="shared" si="10"/>
        <v>0</v>
      </c>
      <c r="X14" s="28">
        <f t="shared" si="11"/>
        <v>0</v>
      </c>
      <c r="Y14" s="29">
        <f t="shared" si="12"/>
        <v>0</v>
      </c>
      <c r="Z14" s="97"/>
      <c r="AA14" s="30"/>
      <c r="AC14" s="5"/>
      <c r="AE14" s="30"/>
      <c r="AT14" s="5"/>
      <c r="AU14" s="5"/>
      <c r="AW14" s="31"/>
      <c r="AX14" s="31"/>
    </row>
    <row r="15" spans="1:50" ht="39" customHeight="1" x14ac:dyDescent="0.25">
      <c r="A15" s="32"/>
      <c r="B15" s="1"/>
      <c r="C15" s="3"/>
      <c r="D15" s="3"/>
      <c r="E15" s="2"/>
      <c r="F15" s="2"/>
      <c r="G15" s="2"/>
      <c r="H15" s="33"/>
      <c r="I15" s="33"/>
      <c r="J15" s="98" t="str">
        <f t="shared" si="13"/>
        <v/>
      </c>
      <c r="K15" s="22">
        <f t="shared" si="1"/>
        <v>0</v>
      </c>
      <c r="L15" s="23">
        <f t="shared" si="14"/>
        <v>0</v>
      </c>
      <c r="M15" s="24">
        <f t="shared" si="15"/>
        <v>0</v>
      </c>
      <c r="N15" s="24">
        <f>IF(ISBLANK($A15),0,IF($A15="A CASA",0,X15*K15))*P$6</f>
        <v>0</v>
      </c>
      <c r="O15" s="24">
        <f t="shared" si="3"/>
        <v>0</v>
      </c>
      <c r="P15" s="22">
        <f t="shared" si="4"/>
        <v>0</v>
      </c>
      <c r="Q15" s="24">
        <f t="shared" si="5"/>
        <v>0</v>
      </c>
      <c r="R15" s="25">
        <f t="shared" si="16"/>
        <v>0</v>
      </c>
      <c r="S15" s="26">
        <f t="shared" si="6"/>
        <v>0</v>
      </c>
      <c r="T15" s="26">
        <f t="shared" si="7"/>
        <v>0</v>
      </c>
      <c r="U15" s="26">
        <f t="shared" si="8"/>
        <v>0</v>
      </c>
      <c r="V15" s="27" t="str">
        <f t="shared" si="9"/>
        <v>-</v>
      </c>
      <c r="W15" s="26">
        <f t="shared" si="10"/>
        <v>0</v>
      </c>
      <c r="X15" s="28">
        <f t="shared" si="11"/>
        <v>0</v>
      </c>
      <c r="Y15" s="29">
        <f t="shared" si="12"/>
        <v>0</v>
      </c>
      <c r="Z15" s="97"/>
      <c r="AA15" s="30"/>
      <c r="AC15" s="5"/>
      <c r="AE15" s="30"/>
      <c r="AT15" s="5"/>
      <c r="AU15" s="5"/>
      <c r="AW15" s="31"/>
      <c r="AX15" s="31"/>
    </row>
    <row r="16" spans="1:50" ht="39" customHeight="1" x14ac:dyDescent="0.25">
      <c r="A16" s="32"/>
      <c r="B16" s="1"/>
      <c r="C16" s="3"/>
      <c r="D16" s="3"/>
      <c r="E16" s="2"/>
      <c r="F16" s="2"/>
      <c r="G16" s="2"/>
      <c r="H16" s="33"/>
      <c r="I16" s="33"/>
      <c r="J16" s="98" t="str">
        <f t="shared" si="13"/>
        <v/>
      </c>
      <c r="K16" s="22">
        <f t="shared" ref="K16:K30" si="17">IF(ISBLANK(H16),0,MIN(H16,T16))</f>
        <v>0</v>
      </c>
      <c r="L16" s="23">
        <f t="shared" si="14"/>
        <v>0</v>
      </c>
      <c r="M16" s="24">
        <f t="shared" si="15"/>
        <v>0</v>
      </c>
      <c r="N16" s="24">
        <f t="shared" si="2"/>
        <v>0</v>
      </c>
      <c r="O16" s="24">
        <f t="shared" si="3"/>
        <v>0</v>
      </c>
      <c r="P16" s="22">
        <f t="shared" si="4"/>
        <v>0</v>
      </c>
      <c r="Q16" s="24">
        <f t="shared" si="5"/>
        <v>0</v>
      </c>
      <c r="R16" s="25">
        <f t="shared" si="16"/>
        <v>0</v>
      </c>
      <c r="S16" s="26">
        <f t="shared" si="6"/>
        <v>0</v>
      </c>
      <c r="T16" s="26">
        <f t="shared" si="7"/>
        <v>0</v>
      </c>
      <c r="U16" s="26">
        <f t="shared" si="8"/>
        <v>0</v>
      </c>
      <c r="V16" s="27" t="str">
        <f t="shared" si="9"/>
        <v>-</v>
      </c>
      <c r="W16" s="26">
        <f t="shared" si="10"/>
        <v>0</v>
      </c>
      <c r="X16" s="28">
        <f t="shared" si="11"/>
        <v>0</v>
      </c>
      <c r="Y16" s="29">
        <f t="shared" si="12"/>
        <v>0</v>
      </c>
      <c r="Z16" s="97"/>
      <c r="AA16" s="30"/>
      <c r="AC16" s="5"/>
      <c r="AE16" s="30"/>
      <c r="AT16" s="5"/>
      <c r="AU16" s="5"/>
      <c r="AW16" s="31"/>
      <c r="AX16" s="31"/>
    </row>
    <row r="17" spans="1:50" ht="39" customHeight="1" x14ac:dyDescent="0.25">
      <c r="A17" s="32"/>
      <c r="B17" s="1"/>
      <c r="C17" s="3"/>
      <c r="D17" s="3"/>
      <c r="E17" s="2"/>
      <c r="F17" s="2"/>
      <c r="G17" s="2"/>
      <c r="H17" s="33"/>
      <c r="I17" s="33"/>
      <c r="J17" s="98" t="str">
        <f t="shared" si="13"/>
        <v/>
      </c>
      <c r="K17" s="22">
        <f t="shared" si="17"/>
        <v>0</v>
      </c>
      <c r="L17" s="23">
        <f t="shared" si="14"/>
        <v>0</v>
      </c>
      <c r="M17" s="24">
        <f t="shared" si="15"/>
        <v>0</v>
      </c>
      <c r="N17" s="24">
        <f t="shared" si="2"/>
        <v>0</v>
      </c>
      <c r="O17" s="24">
        <f t="shared" si="3"/>
        <v>0</v>
      </c>
      <c r="P17" s="22">
        <f t="shared" si="4"/>
        <v>0</v>
      </c>
      <c r="Q17" s="24">
        <f t="shared" si="5"/>
        <v>0</v>
      </c>
      <c r="R17" s="25">
        <f t="shared" si="16"/>
        <v>0</v>
      </c>
      <c r="S17" s="26">
        <f t="shared" si="6"/>
        <v>0</v>
      </c>
      <c r="T17" s="26">
        <f t="shared" si="7"/>
        <v>0</v>
      </c>
      <c r="U17" s="26">
        <f t="shared" si="8"/>
        <v>0</v>
      </c>
      <c r="V17" s="27" t="str">
        <f t="shared" si="9"/>
        <v>-</v>
      </c>
      <c r="W17" s="26">
        <f t="shared" si="10"/>
        <v>0</v>
      </c>
      <c r="X17" s="28">
        <f t="shared" si="11"/>
        <v>0</v>
      </c>
      <c r="Y17" s="29">
        <f t="shared" si="12"/>
        <v>0</v>
      </c>
      <c r="Z17" s="97"/>
      <c r="AA17" s="30"/>
      <c r="AC17" s="5"/>
      <c r="AE17" s="30"/>
      <c r="AT17" s="5"/>
      <c r="AU17" s="5"/>
      <c r="AW17" s="31"/>
      <c r="AX17" s="31"/>
    </row>
    <row r="18" spans="1:50" ht="39" customHeight="1" x14ac:dyDescent="0.25">
      <c r="A18" s="32"/>
      <c r="B18" s="1"/>
      <c r="C18" s="3"/>
      <c r="D18" s="3"/>
      <c r="E18" s="2"/>
      <c r="F18" s="2"/>
      <c r="G18" s="2"/>
      <c r="H18" s="33"/>
      <c r="I18" s="33"/>
      <c r="J18" s="98" t="str">
        <f t="shared" si="13"/>
        <v/>
      </c>
      <c r="K18" s="22">
        <f t="shared" si="17"/>
        <v>0</v>
      </c>
      <c r="L18" s="23">
        <f t="shared" si="14"/>
        <v>0</v>
      </c>
      <c r="M18" s="24">
        <f t="shared" si="15"/>
        <v>0</v>
      </c>
      <c r="N18" s="24">
        <f t="shared" si="2"/>
        <v>0</v>
      </c>
      <c r="O18" s="24">
        <f t="shared" si="3"/>
        <v>0</v>
      </c>
      <c r="P18" s="22">
        <f t="shared" si="4"/>
        <v>0</v>
      </c>
      <c r="Q18" s="24">
        <f t="shared" si="5"/>
        <v>0</v>
      </c>
      <c r="R18" s="25">
        <f t="shared" si="16"/>
        <v>0</v>
      </c>
      <c r="S18" s="26">
        <f t="shared" si="6"/>
        <v>0</v>
      </c>
      <c r="T18" s="26">
        <f t="shared" si="7"/>
        <v>0</v>
      </c>
      <c r="U18" s="26">
        <f t="shared" si="8"/>
        <v>0</v>
      </c>
      <c r="V18" s="27" t="str">
        <f t="shared" si="9"/>
        <v>-</v>
      </c>
      <c r="W18" s="26">
        <f t="shared" si="10"/>
        <v>0</v>
      </c>
      <c r="X18" s="28">
        <f t="shared" si="11"/>
        <v>0</v>
      </c>
      <c r="Y18" s="29">
        <f t="shared" si="12"/>
        <v>0</v>
      </c>
      <c r="Z18" s="97"/>
      <c r="AA18" s="30"/>
      <c r="AC18" s="5"/>
      <c r="AE18" s="30"/>
      <c r="AT18" s="5"/>
      <c r="AU18" s="5"/>
      <c r="AW18" s="31"/>
      <c r="AX18" s="31"/>
    </row>
    <row r="19" spans="1:50" ht="39" customHeight="1" x14ac:dyDescent="0.25">
      <c r="A19" s="32"/>
      <c r="B19" s="1"/>
      <c r="C19" s="3"/>
      <c r="D19" s="3"/>
      <c r="E19" s="2"/>
      <c r="F19" s="2"/>
      <c r="G19" s="2"/>
      <c r="H19" s="33"/>
      <c r="I19" s="33"/>
      <c r="J19" s="98" t="str">
        <f t="shared" si="13"/>
        <v/>
      </c>
      <c r="K19" s="22">
        <f t="shared" si="17"/>
        <v>0</v>
      </c>
      <c r="L19" s="23">
        <f t="shared" si="14"/>
        <v>0</v>
      </c>
      <c r="M19" s="24">
        <f t="shared" si="15"/>
        <v>0</v>
      </c>
      <c r="N19" s="24">
        <f t="shared" si="2"/>
        <v>0</v>
      </c>
      <c r="O19" s="24">
        <f t="shared" si="3"/>
        <v>0</v>
      </c>
      <c r="P19" s="22">
        <f t="shared" si="4"/>
        <v>0</v>
      </c>
      <c r="Q19" s="24">
        <f t="shared" si="5"/>
        <v>0</v>
      </c>
      <c r="R19" s="25">
        <f t="shared" si="16"/>
        <v>0</v>
      </c>
      <c r="S19" s="26">
        <f t="shared" si="6"/>
        <v>0</v>
      </c>
      <c r="T19" s="26">
        <f t="shared" si="7"/>
        <v>0</v>
      </c>
      <c r="U19" s="26">
        <f t="shared" si="8"/>
        <v>0</v>
      </c>
      <c r="V19" s="27" t="str">
        <f t="shared" si="9"/>
        <v>-</v>
      </c>
      <c r="W19" s="26">
        <f t="shared" si="10"/>
        <v>0</v>
      </c>
      <c r="X19" s="28">
        <f t="shared" si="11"/>
        <v>0</v>
      </c>
      <c r="Y19" s="29">
        <f t="shared" si="12"/>
        <v>0</v>
      </c>
      <c r="Z19" s="97"/>
      <c r="AA19" s="30"/>
      <c r="AC19" s="5"/>
      <c r="AE19" s="30"/>
      <c r="AT19" s="5"/>
      <c r="AU19" s="5"/>
      <c r="AW19" s="31"/>
      <c r="AX19" s="31"/>
    </row>
    <row r="20" spans="1:50" ht="39" customHeight="1" x14ac:dyDescent="0.25">
      <c r="A20" s="32"/>
      <c r="B20" s="1"/>
      <c r="C20" s="3"/>
      <c r="D20" s="3"/>
      <c r="E20" s="2"/>
      <c r="F20" s="2"/>
      <c r="G20" s="2"/>
      <c r="H20" s="33"/>
      <c r="I20" s="33"/>
      <c r="J20" s="98" t="str">
        <f t="shared" si="13"/>
        <v/>
      </c>
      <c r="K20" s="22">
        <f t="shared" si="17"/>
        <v>0</v>
      </c>
      <c r="L20" s="23">
        <f t="shared" si="14"/>
        <v>0</v>
      </c>
      <c r="M20" s="24">
        <f t="shared" si="15"/>
        <v>0</v>
      </c>
      <c r="N20" s="24">
        <f t="shared" si="2"/>
        <v>0</v>
      </c>
      <c r="O20" s="24">
        <f t="shared" si="3"/>
        <v>0</v>
      </c>
      <c r="P20" s="22">
        <f t="shared" si="4"/>
        <v>0</v>
      </c>
      <c r="Q20" s="24">
        <f t="shared" si="5"/>
        <v>0</v>
      </c>
      <c r="R20" s="25">
        <f t="shared" si="16"/>
        <v>0</v>
      </c>
      <c r="S20" s="26">
        <f t="shared" si="6"/>
        <v>0</v>
      </c>
      <c r="T20" s="26">
        <f t="shared" si="7"/>
        <v>0</v>
      </c>
      <c r="U20" s="26">
        <f t="shared" si="8"/>
        <v>0</v>
      </c>
      <c r="V20" s="27" t="str">
        <f t="shared" si="9"/>
        <v>-</v>
      </c>
      <c r="W20" s="26">
        <f t="shared" si="10"/>
        <v>0</v>
      </c>
      <c r="X20" s="28">
        <f t="shared" si="11"/>
        <v>0</v>
      </c>
      <c r="Y20" s="29">
        <f t="shared" si="12"/>
        <v>0</v>
      </c>
      <c r="Z20" s="97"/>
      <c r="AA20" s="30"/>
      <c r="AC20" s="5"/>
      <c r="AE20" s="30"/>
      <c r="AT20" s="5"/>
      <c r="AU20" s="5"/>
      <c r="AW20" s="31"/>
      <c r="AX20" s="31"/>
    </row>
    <row r="21" spans="1:50" ht="39" customHeight="1" x14ac:dyDescent="0.25">
      <c r="A21" s="32"/>
      <c r="B21" s="1"/>
      <c r="C21" s="3"/>
      <c r="D21" s="3"/>
      <c r="E21" s="2"/>
      <c r="F21" s="2"/>
      <c r="G21" s="2"/>
      <c r="H21" s="33"/>
      <c r="I21" s="33"/>
      <c r="J21" s="98" t="str">
        <f t="shared" si="13"/>
        <v/>
      </c>
      <c r="K21" s="22">
        <f t="shared" si="17"/>
        <v>0</v>
      </c>
      <c r="L21" s="23">
        <f t="shared" si="14"/>
        <v>0</v>
      </c>
      <c r="M21" s="24">
        <f t="shared" si="15"/>
        <v>0</v>
      </c>
      <c r="N21" s="24">
        <f t="shared" si="2"/>
        <v>0</v>
      </c>
      <c r="O21" s="24">
        <f t="shared" si="3"/>
        <v>0</v>
      </c>
      <c r="P21" s="22">
        <f t="shared" si="4"/>
        <v>0</v>
      </c>
      <c r="Q21" s="24">
        <f t="shared" si="5"/>
        <v>0</v>
      </c>
      <c r="R21" s="25">
        <f t="shared" si="16"/>
        <v>0</v>
      </c>
      <c r="S21" s="26">
        <f t="shared" si="6"/>
        <v>0</v>
      </c>
      <c r="T21" s="26">
        <f t="shared" si="7"/>
        <v>0</v>
      </c>
      <c r="U21" s="26">
        <f t="shared" si="8"/>
        <v>0</v>
      </c>
      <c r="V21" s="27" t="str">
        <f t="shared" si="9"/>
        <v>-</v>
      </c>
      <c r="W21" s="26">
        <f t="shared" si="10"/>
        <v>0</v>
      </c>
      <c r="X21" s="28">
        <f t="shared" si="11"/>
        <v>0</v>
      </c>
      <c r="Y21" s="29">
        <f t="shared" si="12"/>
        <v>0</v>
      </c>
      <c r="Z21" s="97"/>
      <c r="AA21" s="30"/>
      <c r="AC21" s="5"/>
      <c r="AE21" s="30"/>
      <c r="AT21" s="5"/>
      <c r="AU21" s="5"/>
      <c r="AW21" s="31"/>
      <c r="AX21" s="31"/>
    </row>
    <row r="22" spans="1:50" ht="39" customHeight="1" x14ac:dyDescent="0.25">
      <c r="A22" s="32"/>
      <c r="B22" s="1"/>
      <c r="C22" s="3"/>
      <c r="D22" s="3"/>
      <c r="E22" s="2"/>
      <c r="F22" s="2"/>
      <c r="G22" s="2"/>
      <c r="H22" s="33"/>
      <c r="I22" s="33"/>
      <c r="J22" s="98" t="str">
        <f t="shared" si="13"/>
        <v/>
      </c>
      <c r="K22" s="22">
        <f t="shared" si="17"/>
        <v>0</v>
      </c>
      <c r="L22" s="23">
        <f t="shared" si="14"/>
        <v>0</v>
      </c>
      <c r="M22" s="24">
        <f t="shared" si="15"/>
        <v>0</v>
      </c>
      <c r="N22" s="24">
        <f t="shared" si="2"/>
        <v>0</v>
      </c>
      <c r="O22" s="24">
        <f t="shared" si="3"/>
        <v>0</v>
      </c>
      <c r="P22" s="22">
        <f t="shared" si="4"/>
        <v>0</v>
      </c>
      <c r="Q22" s="24">
        <f t="shared" si="5"/>
        <v>0</v>
      </c>
      <c r="R22" s="25">
        <f t="shared" si="16"/>
        <v>0</v>
      </c>
      <c r="S22" s="26">
        <f t="shared" si="6"/>
        <v>0</v>
      </c>
      <c r="T22" s="26">
        <f t="shared" si="7"/>
        <v>0</v>
      </c>
      <c r="U22" s="26">
        <f t="shared" si="8"/>
        <v>0</v>
      </c>
      <c r="V22" s="27" t="str">
        <f t="shared" si="9"/>
        <v>-</v>
      </c>
      <c r="W22" s="26">
        <f t="shared" si="10"/>
        <v>0</v>
      </c>
      <c r="X22" s="28">
        <f t="shared" si="11"/>
        <v>0</v>
      </c>
      <c r="Y22" s="29">
        <f t="shared" si="12"/>
        <v>0</v>
      </c>
      <c r="Z22" s="97"/>
      <c r="AA22" s="30"/>
      <c r="AC22" s="5"/>
      <c r="AE22" s="30"/>
      <c r="AT22" s="5"/>
      <c r="AU22" s="5"/>
      <c r="AW22" s="31"/>
      <c r="AX22" s="31"/>
    </row>
    <row r="23" spans="1:50" ht="39" customHeight="1" x14ac:dyDescent="0.25">
      <c r="A23" s="32"/>
      <c r="B23" s="1"/>
      <c r="C23" s="3"/>
      <c r="D23" s="3"/>
      <c r="E23" s="2"/>
      <c r="F23" s="2"/>
      <c r="G23" s="2"/>
      <c r="H23" s="33"/>
      <c r="I23" s="33"/>
      <c r="J23" s="98" t="str">
        <f t="shared" si="13"/>
        <v/>
      </c>
      <c r="K23" s="22">
        <f t="shared" si="17"/>
        <v>0</v>
      </c>
      <c r="L23" s="23">
        <f t="shared" si="14"/>
        <v>0</v>
      </c>
      <c r="M23" s="24">
        <f t="shared" si="15"/>
        <v>0</v>
      </c>
      <c r="N23" s="24">
        <f t="shared" si="2"/>
        <v>0</v>
      </c>
      <c r="O23" s="24">
        <f t="shared" si="3"/>
        <v>0</v>
      </c>
      <c r="P23" s="22">
        <f t="shared" si="4"/>
        <v>0</v>
      </c>
      <c r="Q23" s="24">
        <f t="shared" si="5"/>
        <v>0</v>
      </c>
      <c r="R23" s="25">
        <f t="shared" si="16"/>
        <v>0</v>
      </c>
      <c r="S23" s="26">
        <f t="shared" si="6"/>
        <v>0</v>
      </c>
      <c r="T23" s="26">
        <f t="shared" si="7"/>
        <v>0</v>
      </c>
      <c r="U23" s="26">
        <f t="shared" si="8"/>
        <v>0</v>
      </c>
      <c r="V23" s="27" t="str">
        <f t="shared" si="9"/>
        <v>-</v>
      </c>
      <c r="W23" s="26">
        <f t="shared" si="10"/>
        <v>0</v>
      </c>
      <c r="X23" s="28">
        <f t="shared" si="11"/>
        <v>0</v>
      </c>
      <c r="Y23" s="29">
        <f t="shared" si="12"/>
        <v>0</v>
      </c>
      <c r="Z23" s="97"/>
      <c r="AA23" s="30"/>
      <c r="AC23" s="5"/>
      <c r="AE23" s="30"/>
      <c r="AT23" s="5"/>
      <c r="AU23" s="5"/>
      <c r="AW23" s="31"/>
      <c r="AX23" s="31"/>
    </row>
    <row r="24" spans="1:50" ht="39" customHeight="1" x14ac:dyDescent="0.25">
      <c r="A24" s="32"/>
      <c r="B24" s="1"/>
      <c r="C24" s="3"/>
      <c r="D24" s="3"/>
      <c r="E24" s="2"/>
      <c r="F24" s="2"/>
      <c r="G24" s="2"/>
      <c r="H24" s="33"/>
      <c r="I24" s="33"/>
      <c r="J24" s="98" t="str">
        <f t="shared" si="13"/>
        <v/>
      </c>
      <c r="K24" s="22">
        <f t="shared" si="17"/>
        <v>0</v>
      </c>
      <c r="L24" s="23">
        <f t="shared" si="14"/>
        <v>0</v>
      </c>
      <c r="M24" s="24">
        <f t="shared" si="15"/>
        <v>0</v>
      </c>
      <c r="N24" s="24">
        <f t="shared" si="2"/>
        <v>0</v>
      </c>
      <c r="O24" s="24">
        <f t="shared" si="3"/>
        <v>0</v>
      </c>
      <c r="P24" s="22">
        <f t="shared" si="4"/>
        <v>0</v>
      </c>
      <c r="Q24" s="24">
        <f t="shared" si="5"/>
        <v>0</v>
      </c>
      <c r="R24" s="25">
        <f t="shared" si="16"/>
        <v>0</v>
      </c>
      <c r="S24" s="26">
        <f t="shared" si="6"/>
        <v>0</v>
      </c>
      <c r="T24" s="26">
        <f t="shared" si="7"/>
        <v>0</v>
      </c>
      <c r="U24" s="26">
        <f t="shared" si="8"/>
        <v>0</v>
      </c>
      <c r="V24" s="27" t="str">
        <f t="shared" si="9"/>
        <v>-</v>
      </c>
      <c r="W24" s="26">
        <f t="shared" si="10"/>
        <v>0</v>
      </c>
      <c r="X24" s="28">
        <f t="shared" si="11"/>
        <v>0</v>
      </c>
      <c r="Y24" s="29">
        <f t="shared" si="12"/>
        <v>0</v>
      </c>
      <c r="Z24" s="97"/>
      <c r="AA24" s="30"/>
      <c r="AC24" s="5"/>
      <c r="AE24" s="30"/>
      <c r="AT24" s="5"/>
      <c r="AU24" s="5"/>
      <c r="AW24" s="31"/>
      <c r="AX24" s="31"/>
    </row>
    <row r="25" spans="1:50" ht="39" customHeight="1" x14ac:dyDescent="0.25">
      <c r="A25" s="32"/>
      <c r="B25" s="1"/>
      <c r="C25" s="3"/>
      <c r="D25" s="3"/>
      <c r="E25" s="2"/>
      <c r="F25" s="2"/>
      <c r="G25" s="2"/>
      <c r="H25" s="33"/>
      <c r="I25" s="33"/>
      <c r="J25" s="98" t="str">
        <f t="shared" si="13"/>
        <v/>
      </c>
      <c r="K25" s="22">
        <f t="shared" si="17"/>
        <v>0</v>
      </c>
      <c r="L25" s="23">
        <f t="shared" si="14"/>
        <v>0</v>
      </c>
      <c r="M25" s="24">
        <f t="shared" si="15"/>
        <v>0</v>
      </c>
      <c r="N25" s="24">
        <f t="shared" si="2"/>
        <v>0</v>
      </c>
      <c r="O25" s="24">
        <f t="shared" si="3"/>
        <v>0</v>
      </c>
      <c r="P25" s="22">
        <f t="shared" si="4"/>
        <v>0</v>
      </c>
      <c r="Q25" s="24">
        <f t="shared" si="5"/>
        <v>0</v>
      </c>
      <c r="R25" s="25">
        <f t="shared" si="16"/>
        <v>0</v>
      </c>
      <c r="S25" s="26">
        <f t="shared" si="6"/>
        <v>0</v>
      </c>
      <c r="T25" s="26">
        <f t="shared" si="7"/>
        <v>0</v>
      </c>
      <c r="U25" s="26">
        <f t="shared" si="8"/>
        <v>0</v>
      </c>
      <c r="V25" s="27" t="str">
        <f t="shared" si="9"/>
        <v>-</v>
      </c>
      <c r="W25" s="26">
        <f t="shared" si="10"/>
        <v>0</v>
      </c>
      <c r="X25" s="28">
        <f t="shared" si="11"/>
        <v>0</v>
      </c>
      <c r="Y25" s="29">
        <f t="shared" si="12"/>
        <v>0</v>
      </c>
      <c r="Z25" s="97"/>
      <c r="AA25" s="30"/>
      <c r="AC25" s="5"/>
      <c r="AE25" s="30"/>
      <c r="AT25" s="5"/>
      <c r="AU25" s="5"/>
      <c r="AW25" s="31"/>
      <c r="AX25" s="31"/>
    </row>
    <row r="26" spans="1:50" ht="39" customHeight="1" x14ac:dyDescent="0.25">
      <c r="A26" s="32"/>
      <c r="B26" s="1"/>
      <c r="C26" s="3"/>
      <c r="D26" s="3"/>
      <c r="E26" s="2"/>
      <c r="F26" s="2"/>
      <c r="G26" s="2"/>
      <c r="H26" s="33"/>
      <c r="I26" s="33"/>
      <c r="J26" s="98" t="str">
        <f t="shared" si="13"/>
        <v/>
      </c>
      <c r="K26" s="22">
        <f t="shared" si="17"/>
        <v>0</v>
      </c>
      <c r="L26" s="23">
        <f t="shared" si="14"/>
        <v>0</v>
      </c>
      <c r="M26" s="24">
        <f t="shared" si="15"/>
        <v>0</v>
      </c>
      <c r="N26" s="24">
        <f t="shared" si="2"/>
        <v>0</v>
      </c>
      <c r="O26" s="24">
        <f t="shared" si="3"/>
        <v>0</v>
      </c>
      <c r="P26" s="22">
        <f t="shared" si="4"/>
        <v>0</v>
      </c>
      <c r="Q26" s="24">
        <f t="shared" si="5"/>
        <v>0</v>
      </c>
      <c r="R26" s="25">
        <f t="shared" si="16"/>
        <v>0</v>
      </c>
      <c r="S26" s="26">
        <f t="shared" si="6"/>
        <v>0</v>
      </c>
      <c r="T26" s="26">
        <f t="shared" si="7"/>
        <v>0</v>
      </c>
      <c r="U26" s="26">
        <f t="shared" si="8"/>
        <v>0</v>
      </c>
      <c r="V26" s="27" t="str">
        <f t="shared" si="9"/>
        <v>-</v>
      </c>
      <c r="W26" s="26">
        <f t="shared" si="10"/>
        <v>0</v>
      </c>
      <c r="X26" s="28">
        <f t="shared" si="11"/>
        <v>0</v>
      </c>
      <c r="Y26" s="29">
        <f t="shared" si="12"/>
        <v>0</v>
      </c>
      <c r="Z26" s="97"/>
      <c r="AA26" s="30"/>
      <c r="AC26" s="5"/>
      <c r="AE26" s="30"/>
      <c r="AT26" s="5"/>
      <c r="AU26" s="5"/>
      <c r="AW26" s="31"/>
      <c r="AX26" s="31"/>
    </row>
    <row r="27" spans="1:50" ht="39" customHeight="1" x14ac:dyDescent="0.25">
      <c r="A27" s="32"/>
      <c r="B27" s="1"/>
      <c r="C27" s="3"/>
      <c r="D27" s="3"/>
      <c r="E27" s="2"/>
      <c r="F27" s="2"/>
      <c r="G27" s="2"/>
      <c r="H27" s="33"/>
      <c r="I27" s="33"/>
      <c r="J27" s="98" t="str">
        <f t="shared" si="13"/>
        <v/>
      </c>
      <c r="K27" s="22">
        <f t="shared" si="17"/>
        <v>0</v>
      </c>
      <c r="L27" s="23">
        <f t="shared" si="14"/>
        <v>0</v>
      </c>
      <c r="M27" s="24">
        <f t="shared" si="15"/>
        <v>0</v>
      </c>
      <c r="N27" s="24">
        <f t="shared" si="2"/>
        <v>0</v>
      </c>
      <c r="O27" s="24">
        <f t="shared" si="3"/>
        <v>0</v>
      </c>
      <c r="P27" s="22">
        <f t="shared" si="4"/>
        <v>0</v>
      </c>
      <c r="Q27" s="24">
        <f t="shared" si="5"/>
        <v>0</v>
      </c>
      <c r="R27" s="25">
        <f t="shared" si="16"/>
        <v>0</v>
      </c>
      <c r="S27" s="26">
        <f t="shared" si="6"/>
        <v>0</v>
      </c>
      <c r="T27" s="26">
        <f t="shared" si="7"/>
        <v>0</v>
      </c>
      <c r="U27" s="26">
        <f t="shared" si="8"/>
        <v>0</v>
      </c>
      <c r="V27" s="27" t="str">
        <f t="shared" si="9"/>
        <v>-</v>
      </c>
      <c r="W27" s="26">
        <f t="shared" si="10"/>
        <v>0</v>
      </c>
      <c r="X27" s="28">
        <f t="shared" si="11"/>
        <v>0</v>
      </c>
      <c r="Y27" s="29">
        <f t="shared" si="12"/>
        <v>0</v>
      </c>
      <c r="Z27" s="97"/>
      <c r="AA27" s="30"/>
      <c r="AC27" s="5"/>
      <c r="AE27" s="30"/>
      <c r="AT27" s="5"/>
      <c r="AU27" s="5"/>
      <c r="AW27" s="31"/>
      <c r="AX27" s="31"/>
    </row>
    <row r="28" spans="1:50" ht="39" customHeight="1" x14ac:dyDescent="0.25">
      <c r="A28" s="32"/>
      <c r="B28" s="1"/>
      <c r="C28" s="3"/>
      <c r="D28" s="3"/>
      <c r="E28" s="2"/>
      <c r="F28" s="2"/>
      <c r="G28" s="2"/>
      <c r="H28" s="33"/>
      <c r="I28" s="33"/>
      <c r="J28" s="98" t="str">
        <f t="shared" si="13"/>
        <v/>
      </c>
      <c r="K28" s="22">
        <f t="shared" si="17"/>
        <v>0</v>
      </c>
      <c r="L28" s="23">
        <f t="shared" si="14"/>
        <v>0</v>
      </c>
      <c r="M28" s="24">
        <f t="shared" si="15"/>
        <v>0</v>
      </c>
      <c r="N28" s="24">
        <f t="shared" si="2"/>
        <v>0</v>
      </c>
      <c r="O28" s="24">
        <f t="shared" si="3"/>
        <v>0</v>
      </c>
      <c r="P28" s="22">
        <f t="shared" si="4"/>
        <v>0</v>
      </c>
      <c r="Q28" s="24">
        <f t="shared" si="5"/>
        <v>0</v>
      </c>
      <c r="R28" s="25">
        <f t="shared" si="16"/>
        <v>0</v>
      </c>
      <c r="S28" s="26">
        <f t="shared" si="6"/>
        <v>0</v>
      </c>
      <c r="T28" s="26">
        <f t="shared" si="7"/>
        <v>0</v>
      </c>
      <c r="U28" s="26">
        <f t="shared" si="8"/>
        <v>0</v>
      </c>
      <c r="V28" s="27" t="str">
        <f t="shared" si="9"/>
        <v>-</v>
      </c>
      <c r="W28" s="26">
        <f t="shared" si="10"/>
        <v>0</v>
      </c>
      <c r="X28" s="28">
        <f t="shared" si="11"/>
        <v>0</v>
      </c>
      <c r="Y28" s="29">
        <f t="shared" si="12"/>
        <v>0</v>
      </c>
      <c r="Z28" s="97"/>
      <c r="AA28" s="30"/>
      <c r="AC28" s="5"/>
      <c r="AE28" s="30"/>
      <c r="AT28" s="5"/>
      <c r="AU28" s="5"/>
      <c r="AW28" s="31"/>
      <c r="AX28" s="31"/>
    </row>
    <row r="29" spans="1:50" ht="39" customHeight="1" x14ac:dyDescent="0.25">
      <c r="A29" s="32"/>
      <c r="B29" s="1"/>
      <c r="C29" s="3"/>
      <c r="D29" s="3"/>
      <c r="E29" s="2"/>
      <c r="F29" s="2"/>
      <c r="G29" s="2"/>
      <c r="H29" s="33"/>
      <c r="I29" s="33"/>
      <c r="J29" s="98" t="str">
        <f t="shared" si="13"/>
        <v/>
      </c>
      <c r="K29" s="22">
        <f t="shared" si="17"/>
        <v>0</v>
      </c>
      <c r="L29" s="23">
        <f t="shared" si="14"/>
        <v>0</v>
      </c>
      <c r="M29" s="24">
        <f t="shared" si="15"/>
        <v>0</v>
      </c>
      <c r="N29" s="24">
        <f t="shared" si="2"/>
        <v>0</v>
      </c>
      <c r="O29" s="24">
        <f t="shared" si="3"/>
        <v>0</v>
      </c>
      <c r="P29" s="22">
        <f t="shared" si="4"/>
        <v>0</v>
      </c>
      <c r="Q29" s="24">
        <f t="shared" si="5"/>
        <v>0</v>
      </c>
      <c r="R29" s="25">
        <f t="shared" si="16"/>
        <v>0</v>
      </c>
      <c r="S29" s="26">
        <f t="shared" si="6"/>
        <v>0</v>
      </c>
      <c r="T29" s="26">
        <f t="shared" si="7"/>
        <v>0</v>
      </c>
      <c r="U29" s="26">
        <f t="shared" si="8"/>
        <v>0</v>
      </c>
      <c r="V29" s="27" t="str">
        <f t="shared" si="9"/>
        <v>-</v>
      </c>
      <c r="W29" s="26">
        <f t="shared" si="10"/>
        <v>0</v>
      </c>
      <c r="X29" s="28">
        <f t="shared" si="11"/>
        <v>0</v>
      </c>
      <c r="Y29" s="29">
        <f t="shared" si="12"/>
        <v>0</v>
      </c>
      <c r="Z29" s="97"/>
      <c r="AA29" s="30"/>
      <c r="AC29" s="5"/>
      <c r="AE29" s="30"/>
      <c r="AT29" s="5"/>
      <c r="AU29" s="5"/>
      <c r="AW29" s="31"/>
      <c r="AX29" s="31"/>
    </row>
    <row r="30" spans="1:50" ht="39" customHeight="1" x14ac:dyDescent="0.25">
      <c r="A30" s="32"/>
      <c r="B30" s="1"/>
      <c r="C30" s="3"/>
      <c r="D30" s="3"/>
      <c r="E30" s="2"/>
      <c r="F30" s="2"/>
      <c r="G30" s="2"/>
      <c r="H30" s="33"/>
      <c r="I30" s="33"/>
      <c r="J30" s="98" t="str">
        <f t="shared" si="13"/>
        <v/>
      </c>
      <c r="K30" s="22">
        <f t="shared" si="17"/>
        <v>0</v>
      </c>
      <c r="L30" s="23">
        <f t="shared" si="14"/>
        <v>0</v>
      </c>
      <c r="M30" s="24">
        <f t="shared" si="15"/>
        <v>0</v>
      </c>
      <c r="N30" s="24">
        <f t="shared" si="2"/>
        <v>0</v>
      </c>
      <c r="O30" s="24">
        <f t="shared" si="3"/>
        <v>0</v>
      </c>
      <c r="P30" s="22">
        <f t="shared" si="4"/>
        <v>0</v>
      </c>
      <c r="Q30" s="24">
        <f t="shared" si="5"/>
        <v>0</v>
      </c>
      <c r="R30" s="25">
        <f t="shared" si="16"/>
        <v>0</v>
      </c>
      <c r="S30" s="26">
        <f t="shared" si="6"/>
        <v>0</v>
      </c>
      <c r="T30" s="26">
        <f t="shared" si="7"/>
        <v>0</v>
      </c>
      <c r="U30" s="26">
        <f t="shared" si="8"/>
        <v>0</v>
      </c>
      <c r="V30" s="27" t="str">
        <f t="shared" si="9"/>
        <v>-</v>
      </c>
      <c r="W30" s="26">
        <f t="shared" si="10"/>
        <v>0</v>
      </c>
      <c r="X30" s="28">
        <f t="shared" si="11"/>
        <v>0</v>
      </c>
      <c r="Y30" s="29">
        <f t="shared" si="12"/>
        <v>0</v>
      </c>
      <c r="Z30" s="97"/>
      <c r="AA30" s="30"/>
      <c r="AC30" s="5"/>
      <c r="AE30" s="30"/>
      <c r="AT30" s="5"/>
      <c r="AU30" s="5"/>
      <c r="AW30" s="31"/>
      <c r="AX30" s="31"/>
    </row>
    <row r="31" spans="1:50" ht="39" customHeight="1" x14ac:dyDescent="0.25">
      <c r="A31" s="94" t="s">
        <v>79</v>
      </c>
      <c r="B31" s="94"/>
      <c r="C31" s="94"/>
      <c r="D31" s="94"/>
      <c r="E31" s="94"/>
      <c r="F31" s="94"/>
      <c r="G31" s="94"/>
      <c r="H31" s="94"/>
      <c r="I31" s="94"/>
      <c r="J31" s="94"/>
      <c r="K31" s="95"/>
      <c r="L31" s="44" t="s">
        <v>72</v>
      </c>
      <c r="M31" s="45">
        <f>SUM(M11:M30)</f>
        <v>0</v>
      </c>
      <c r="N31" s="45">
        <f>SUM(N11:N30)</f>
        <v>0</v>
      </c>
      <c r="O31" s="45">
        <f t="shared" ref="O31:R31" si="18">SUM(O11:O30)</f>
        <v>0</v>
      </c>
      <c r="P31" s="45"/>
      <c r="Q31" s="45">
        <f t="shared" si="18"/>
        <v>0</v>
      </c>
      <c r="R31" s="46">
        <f t="shared" si="18"/>
        <v>0</v>
      </c>
      <c r="X31" s="31"/>
      <c r="Y31" s="31"/>
      <c r="Z31" s="30"/>
      <c r="AA31" s="30"/>
      <c r="AC31" s="5"/>
      <c r="AE31" s="30"/>
      <c r="AT31" s="5"/>
      <c r="AU31" s="5"/>
      <c r="AW31" s="31"/>
      <c r="AX31" s="31"/>
    </row>
    <row r="32" spans="1:50" ht="13.5" thickBot="1" x14ac:dyDescent="0.3">
      <c r="A32" s="5"/>
      <c r="D32" s="5" t="s">
        <v>80</v>
      </c>
      <c r="M32" s="31"/>
      <c r="Q32" s="30"/>
      <c r="X32" s="31"/>
      <c r="Z32" s="30"/>
      <c r="AC32" s="5"/>
      <c r="AD32" s="30"/>
      <c r="AT32" s="5"/>
      <c r="AW32" s="31"/>
    </row>
    <row r="33" spans="1:49" x14ac:dyDescent="0.25">
      <c r="A33" s="5"/>
      <c r="D33" s="47"/>
      <c r="E33" s="48"/>
      <c r="F33" s="48"/>
      <c r="G33" s="49"/>
      <c r="M33" s="31"/>
      <c r="Q33" s="30"/>
      <c r="X33" s="31"/>
      <c r="Z33" s="30"/>
      <c r="AC33" s="5"/>
      <c r="AD33" s="30"/>
      <c r="AT33" s="5"/>
      <c r="AW33" s="31"/>
    </row>
    <row r="34" spans="1:49" x14ac:dyDescent="0.25">
      <c r="A34" s="5"/>
      <c r="D34" s="50"/>
      <c r="G34" s="51"/>
      <c r="M34" s="31"/>
      <c r="Q34" s="30"/>
      <c r="X34" s="31"/>
      <c r="Z34" s="30"/>
      <c r="AC34" s="5"/>
      <c r="AD34" s="30"/>
      <c r="AT34" s="5"/>
      <c r="AW34" s="31"/>
    </row>
    <row r="35" spans="1:49" x14ac:dyDescent="0.25">
      <c r="A35" s="5"/>
      <c r="D35" s="50"/>
      <c r="G35" s="51"/>
      <c r="M35" s="31"/>
      <c r="Q35" s="30"/>
      <c r="X35" s="31"/>
      <c r="Z35" s="30"/>
      <c r="AC35" s="5"/>
      <c r="AD35" s="30"/>
      <c r="AT35" s="5"/>
      <c r="AW35" s="31"/>
    </row>
    <row r="36" spans="1:49" x14ac:dyDescent="0.25">
      <c r="A36" s="5"/>
      <c r="D36" s="50"/>
      <c r="G36" s="51"/>
      <c r="M36" s="31"/>
      <c r="Q36" s="30"/>
      <c r="X36" s="31"/>
      <c r="Z36" s="30"/>
      <c r="AC36" s="5"/>
      <c r="AD36" s="30"/>
      <c r="AT36" s="5"/>
      <c r="AW36" s="31"/>
    </row>
    <row r="37" spans="1:49" x14ac:dyDescent="0.25">
      <c r="A37" s="5"/>
      <c r="D37" s="50"/>
      <c r="G37" s="51"/>
      <c r="M37" s="31"/>
      <c r="Q37" s="30"/>
      <c r="X37" s="31"/>
      <c r="Z37" s="30"/>
      <c r="AC37" s="5"/>
      <c r="AD37" s="30"/>
      <c r="AT37" s="5"/>
      <c r="AW37" s="31"/>
    </row>
    <row r="38" spans="1:49" x14ac:dyDescent="0.25">
      <c r="A38" s="5"/>
      <c r="D38" s="50"/>
      <c r="G38" s="51"/>
    </row>
    <row r="39" spans="1:49" x14ac:dyDescent="0.25">
      <c r="A39" s="5"/>
      <c r="D39" s="50"/>
      <c r="G39" s="51"/>
    </row>
    <row r="40" spans="1:49" x14ac:dyDescent="0.25">
      <c r="A40" s="5"/>
      <c r="D40" s="50"/>
      <c r="G40" s="51"/>
    </row>
    <row r="41" spans="1:49" ht="13.5" thickBot="1" x14ac:dyDescent="0.3">
      <c r="A41" s="5"/>
      <c r="D41" s="52"/>
      <c r="E41" s="53"/>
      <c r="F41" s="53"/>
      <c r="G41" s="54"/>
    </row>
    <row r="76" spans="17:49" x14ac:dyDescent="0.25">
      <c r="Q76" s="30"/>
      <c r="X76" s="31"/>
      <c r="Z76" s="30"/>
      <c r="AC76" s="5"/>
      <c r="AD76" s="30"/>
      <c r="AT76" s="5"/>
      <c r="AW76" s="31"/>
    </row>
    <row r="77" spans="17:49" x14ac:dyDescent="0.25">
      <c r="Q77" s="30"/>
      <c r="X77" s="31"/>
      <c r="Z77" s="30"/>
      <c r="AC77" s="5"/>
      <c r="AD77" s="30"/>
      <c r="AT77" s="5"/>
      <c r="AW77" s="31"/>
    </row>
    <row r="78" spans="17:49" x14ac:dyDescent="0.25">
      <c r="Q78" s="30"/>
      <c r="X78" s="31"/>
      <c r="Z78" s="30"/>
      <c r="AC78" s="5"/>
      <c r="AD78" s="30"/>
      <c r="AT78" s="5"/>
      <c r="AW78" s="31"/>
    </row>
    <row r="79" spans="17:49" x14ac:dyDescent="0.25">
      <c r="Q79" s="30"/>
      <c r="X79" s="31"/>
      <c r="Z79" s="30"/>
      <c r="AC79" s="5"/>
      <c r="AD79" s="30"/>
      <c r="AT79" s="5"/>
      <c r="AW79" s="31"/>
    </row>
    <row r="80" spans="17:49" x14ac:dyDescent="0.25">
      <c r="Q80" s="30"/>
      <c r="X80" s="31"/>
      <c r="Z80" s="30"/>
      <c r="AC80" s="5"/>
      <c r="AD80" s="30"/>
      <c r="AT80" s="5"/>
      <c r="AW80" s="31"/>
    </row>
    <row r="81" spans="1:49" s="6" customFormat="1" ht="96.75" customHeight="1" x14ac:dyDescent="0.25">
      <c r="A81" s="66"/>
      <c r="H81" s="66"/>
      <c r="I81" s="66"/>
      <c r="J81" s="66"/>
      <c r="K81" s="66"/>
      <c r="L81" s="66"/>
      <c r="M81" s="55"/>
      <c r="N81" s="55"/>
      <c r="O81" s="55"/>
      <c r="P81" s="55"/>
      <c r="Q81" s="55"/>
      <c r="R81" s="66"/>
      <c r="S81" s="66"/>
      <c r="T81" s="66"/>
      <c r="U81" s="66"/>
      <c r="V81" s="66"/>
      <c r="W81" s="66"/>
      <c r="X81" s="66"/>
      <c r="Y81" s="55"/>
      <c r="Z81" s="55"/>
      <c r="AA81" s="6" t="s">
        <v>43</v>
      </c>
      <c r="AB81" s="6" t="s">
        <v>42</v>
      </c>
      <c r="AC81" s="6" t="s">
        <v>44</v>
      </c>
      <c r="AD81" s="55" t="s">
        <v>82</v>
      </c>
      <c r="AE81" s="6" t="s">
        <v>85</v>
      </c>
      <c r="AG81" s="6" t="s">
        <v>9</v>
      </c>
      <c r="AH81" s="67" t="s">
        <v>2</v>
      </c>
      <c r="AJ81" s="68" t="s">
        <v>41</v>
      </c>
      <c r="AL81" s="69" t="s">
        <v>93</v>
      </c>
      <c r="AM81" s="69" t="s">
        <v>73</v>
      </c>
      <c r="AN81" s="69" t="s">
        <v>94</v>
      </c>
      <c r="AO81" s="69" t="s">
        <v>9</v>
      </c>
      <c r="AP81" s="70" t="s">
        <v>205</v>
      </c>
      <c r="AQ81" s="101" t="s">
        <v>154</v>
      </c>
      <c r="AR81" s="73" t="s">
        <v>149</v>
      </c>
      <c r="AS81" s="73" t="s">
        <v>155</v>
      </c>
      <c r="AT81" s="73" t="s">
        <v>148</v>
      </c>
      <c r="AU81" s="73" t="s">
        <v>95</v>
      </c>
      <c r="AV81" s="103" t="s">
        <v>147</v>
      </c>
      <c r="AW81" s="73" t="s">
        <v>146</v>
      </c>
    </row>
    <row r="82" spans="1:49" x14ac:dyDescent="0.25">
      <c r="Q82" s="30"/>
      <c r="X82" s="31"/>
      <c r="Z82" s="30"/>
      <c r="AA82" s="5" t="s">
        <v>10</v>
      </c>
      <c r="AB82" s="5" t="s">
        <v>90</v>
      </c>
      <c r="AC82" s="5" t="str">
        <f t="shared" ref="AC82:AC113" si="19">AA82 &amp; "-" &amp; AB82</f>
        <v>EIVISSA-ALACANT (avió)</v>
      </c>
      <c r="AD82" s="30">
        <v>55</v>
      </c>
      <c r="AE82" s="5">
        <v>1</v>
      </c>
      <c r="AG82" s="5" t="s">
        <v>40</v>
      </c>
      <c r="AH82" s="5">
        <v>22</v>
      </c>
      <c r="AJ82" s="61" t="s">
        <v>10</v>
      </c>
      <c r="AL82" s="62" t="s">
        <v>96</v>
      </c>
      <c r="AM82" s="62" t="s">
        <v>97</v>
      </c>
      <c r="AN82" s="62" t="str">
        <f>Tabla25[[#This Row],[Esport i sexe]] &amp; " - " &amp; Tabla25[[#This Row],[Categoria]]</f>
        <v>ATLETISME FEMENÍ - Divisió d’honor</v>
      </c>
      <c r="AO82" s="62" t="s">
        <v>40</v>
      </c>
      <c r="AP82" s="64">
        <v>1</v>
      </c>
      <c r="AQ82" s="71">
        <f>1-(0.25* (Tabla25[[#This Row],[Nivell categoria]]-1))</f>
        <v>1</v>
      </c>
      <c r="AR82" s="64">
        <v>1</v>
      </c>
      <c r="AS82" s="64">
        <v>1</v>
      </c>
      <c r="AT82" s="64">
        <v>1</v>
      </c>
      <c r="AU82" s="64">
        <f>VLOOKUP(Tabla25[[#This Row],[Esport]],Tabla2[],2,FALSE)</f>
        <v>22</v>
      </c>
      <c r="AV82" s="99">
        <f>3-Tabla25[[#This Row],[Nivell categoria]]</f>
        <v>2</v>
      </c>
      <c r="AW82" s="64">
        <f>Tabla25[[#This Row],[Pax]]+Tabla25[[#This Row],[Pax addicional cat.]]</f>
        <v>24</v>
      </c>
    </row>
    <row r="83" spans="1:49" x14ac:dyDescent="0.25">
      <c r="Q83" s="30"/>
      <c r="X83" s="31"/>
      <c r="Z83" s="30"/>
      <c r="AA83" s="5" t="s">
        <v>10</v>
      </c>
      <c r="AB83" s="5" t="s">
        <v>86</v>
      </c>
      <c r="AC83" s="5" t="str">
        <f t="shared" si="19"/>
        <v>EIVISSA-ALACANT (vaixell)</v>
      </c>
      <c r="AD83" s="30">
        <v>23</v>
      </c>
      <c r="AE83" s="5">
        <v>1</v>
      </c>
      <c r="AG83" s="5" t="s">
        <v>8</v>
      </c>
      <c r="AH83" s="5">
        <v>8</v>
      </c>
      <c r="AJ83" s="63" t="s">
        <v>39</v>
      </c>
      <c r="AL83" s="62" t="s">
        <v>96</v>
      </c>
      <c r="AM83" s="62" t="s">
        <v>98</v>
      </c>
      <c r="AN83" s="62" t="str">
        <f>Tabla25[[#This Row],[Esport i sexe]] &amp; " - " &amp; Tabla25[[#This Row],[Categoria]]</f>
        <v>ATLETISME FEMENÍ - Primera divisió</v>
      </c>
      <c r="AO83" s="62" t="s">
        <v>40</v>
      </c>
      <c r="AP83" s="64">
        <v>2</v>
      </c>
      <c r="AQ83" s="71">
        <f>1-(0.25* (Tabla25[[#This Row],[Nivell categoria]]-1))</f>
        <v>0.75</v>
      </c>
      <c r="AR83" s="64">
        <v>1</v>
      </c>
      <c r="AS83" s="64">
        <v>1</v>
      </c>
      <c r="AT83" s="64">
        <v>1</v>
      </c>
      <c r="AU83" s="64">
        <f>VLOOKUP(Tabla25[[#This Row],[Esport]],Tabla2[],2,FALSE)</f>
        <v>22</v>
      </c>
      <c r="AV83" s="99">
        <f>3-Tabla25[[#This Row],[Nivell categoria]]</f>
        <v>1</v>
      </c>
      <c r="AW83" s="64">
        <f>Tabla25[[#This Row],[Pax]]+Tabla25[[#This Row],[Pax addicional cat.]]</f>
        <v>23</v>
      </c>
    </row>
    <row r="84" spans="1:49" ht="12.75" customHeight="1" x14ac:dyDescent="0.25">
      <c r="Q84" s="30"/>
      <c r="X84" s="31"/>
      <c r="Z84" s="30"/>
      <c r="AA84" s="5" t="s">
        <v>10</v>
      </c>
      <c r="AB84" s="5" t="s">
        <v>91</v>
      </c>
      <c r="AC84" s="5" t="str">
        <f t="shared" si="19"/>
        <v>EIVISSA-BARCELONA (avió)</v>
      </c>
      <c r="AD84" s="30">
        <v>55</v>
      </c>
      <c r="AE84" s="5">
        <v>1</v>
      </c>
      <c r="AG84" s="5" t="s">
        <v>38</v>
      </c>
      <c r="AH84" s="5">
        <v>4</v>
      </c>
      <c r="AJ84" s="61" t="s">
        <v>24</v>
      </c>
      <c r="AL84" s="62" t="s">
        <v>96</v>
      </c>
      <c r="AM84" s="62" t="s">
        <v>99</v>
      </c>
      <c r="AN84" s="62" t="str">
        <f>Tabla25[[#This Row],[Esport i sexe]] &amp; " - " &amp; Tabla25[[#This Row],[Categoria]]</f>
        <v>ATLETISME FEMENÍ - Segona divisió</v>
      </c>
      <c r="AO84" s="62" t="s">
        <v>40</v>
      </c>
      <c r="AP84" s="64">
        <v>3</v>
      </c>
      <c r="AQ84" s="71">
        <f>1-(0.25* (Tabla25[[#This Row],[Nivell categoria]]-1))</f>
        <v>0.5</v>
      </c>
      <c r="AR84" s="64">
        <v>1</v>
      </c>
      <c r="AS84" s="64">
        <v>1</v>
      </c>
      <c r="AT84" s="64">
        <v>1</v>
      </c>
      <c r="AU84" s="64">
        <f>VLOOKUP(Tabla25[[#This Row],[Esport]],Tabla2[],2,FALSE)</f>
        <v>22</v>
      </c>
      <c r="AV84" s="99">
        <f>3-Tabla25[[#This Row],[Nivell categoria]]</f>
        <v>0</v>
      </c>
      <c r="AW84" s="64">
        <f>Tabla25[[#This Row],[Pax]]+Tabla25[[#This Row],[Pax addicional cat.]]</f>
        <v>22</v>
      </c>
    </row>
    <row r="85" spans="1:49" x14ac:dyDescent="0.25">
      <c r="Q85" s="30"/>
      <c r="X85" s="31"/>
      <c r="Z85" s="30"/>
      <c r="AA85" s="5" t="s">
        <v>10</v>
      </c>
      <c r="AB85" s="5" t="s">
        <v>87</v>
      </c>
      <c r="AC85" s="5" t="str">
        <f t="shared" si="19"/>
        <v>EIVISSA-BARCELONA (vaixell)</v>
      </c>
      <c r="AD85" s="30">
        <v>23</v>
      </c>
      <c r="AE85" s="5">
        <v>1</v>
      </c>
      <c r="AG85" s="5" t="s">
        <v>37</v>
      </c>
      <c r="AH85" s="5">
        <v>8</v>
      </c>
      <c r="AJ85" s="63" t="s">
        <v>19</v>
      </c>
      <c r="AL85" s="62" t="s">
        <v>100</v>
      </c>
      <c r="AM85" s="62" t="s">
        <v>97</v>
      </c>
      <c r="AN85" s="62" t="str">
        <f>Tabla25[[#This Row],[Esport i sexe]] &amp; " - " &amp; Tabla25[[#This Row],[Categoria]]</f>
        <v>ATLETISME MASCULÍ - Divisió d’honor</v>
      </c>
      <c r="AO85" s="62" t="s">
        <v>40</v>
      </c>
      <c r="AP85" s="64">
        <v>1</v>
      </c>
      <c r="AQ85" s="71">
        <f>1-(0.25* (Tabla25[[#This Row],[Nivell categoria]]-1))</f>
        <v>1</v>
      </c>
      <c r="AR85" s="64">
        <v>1</v>
      </c>
      <c r="AS85" s="64">
        <v>1</v>
      </c>
      <c r="AT85" s="64">
        <v>1</v>
      </c>
      <c r="AU85" s="64">
        <f>VLOOKUP(Tabla25[[#This Row],[Esport]],Tabla2[],2,FALSE)</f>
        <v>22</v>
      </c>
      <c r="AV85" s="99">
        <f>3-Tabla25[[#This Row],[Nivell categoria]]</f>
        <v>2</v>
      </c>
      <c r="AW85" s="64">
        <f>Tabla25[[#This Row],[Pax]]+Tabla25[[#This Row],[Pax addicional cat.]]</f>
        <v>24</v>
      </c>
    </row>
    <row r="86" spans="1:49" ht="12.75" customHeight="1" x14ac:dyDescent="0.25">
      <c r="Q86" s="30"/>
      <c r="X86" s="31"/>
      <c r="Z86" s="30"/>
      <c r="AA86" s="5" t="s">
        <v>10</v>
      </c>
      <c r="AB86" s="5" t="s">
        <v>0</v>
      </c>
      <c r="AC86" s="5" t="str">
        <f t="shared" si="19"/>
        <v>EIVISSA-BILBAO</v>
      </c>
      <c r="AD86" s="30">
        <v>75</v>
      </c>
      <c r="AE86" s="5">
        <v>1</v>
      </c>
      <c r="AG86" s="5" t="s">
        <v>165</v>
      </c>
      <c r="AH86" s="5">
        <v>8</v>
      </c>
      <c r="AL86" s="62" t="s">
        <v>100</v>
      </c>
      <c r="AM86" s="62" t="s">
        <v>98</v>
      </c>
      <c r="AN86" s="62" t="str">
        <f>Tabla25[[#This Row],[Esport i sexe]] &amp; " - " &amp; Tabla25[[#This Row],[Categoria]]</f>
        <v>ATLETISME MASCULÍ - Primera divisió</v>
      </c>
      <c r="AO86" s="62" t="s">
        <v>40</v>
      </c>
      <c r="AP86" s="64">
        <v>2</v>
      </c>
      <c r="AQ86" s="71">
        <f>1-(0.25* (Tabla25[[#This Row],[Nivell categoria]]-1))</f>
        <v>0.75</v>
      </c>
      <c r="AR86" s="64">
        <v>1</v>
      </c>
      <c r="AS86" s="64">
        <v>1</v>
      </c>
      <c r="AT86" s="64">
        <v>1</v>
      </c>
      <c r="AU86" s="64">
        <f>VLOOKUP(Tabla25[[#This Row],[Esport]],Tabla2[],2,FALSE)</f>
        <v>22</v>
      </c>
      <c r="AV86" s="99">
        <f>3-Tabla25[[#This Row],[Nivell categoria]]</f>
        <v>1</v>
      </c>
      <c r="AW86" s="64">
        <f>Tabla25[[#This Row],[Pax]]+Tabla25[[#This Row],[Pax addicional cat.]]</f>
        <v>23</v>
      </c>
    </row>
    <row r="87" spans="1:49" ht="12.75" customHeight="1" x14ac:dyDescent="0.25">
      <c r="Q87" s="30"/>
      <c r="X87" s="31"/>
      <c r="Z87" s="30"/>
      <c r="AA87" s="5" t="s">
        <v>10</v>
      </c>
      <c r="AB87" s="5" t="s">
        <v>88</v>
      </c>
      <c r="AC87" s="5" t="str">
        <f t="shared" si="19"/>
        <v>EIVISSA-DÉNIA (vaixell)</v>
      </c>
      <c r="AD87" s="30">
        <v>23</v>
      </c>
      <c r="AE87" s="5">
        <v>1</v>
      </c>
      <c r="AG87" s="5" t="s">
        <v>36</v>
      </c>
      <c r="AH87" s="5">
        <v>5</v>
      </c>
      <c r="AL87" s="62" t="s">
        <v>100</v>
      </c>
      <c r="AM87" s="62" t="s">
        <v>99</v>
      </c>
      <c r="AN87" s="62" t="str">
        <f>Tabla25[[#This Row],[Esport i sexe]] &amp; " - " &amp; Tabla25[[#This Row],[Categoria]]</f>
        <v>ATLETISME MASCULÍ - Segona divisió</v>
      </c>
      <c r="AO87" s="62" t="s">
        <v>40</v>
      </c>
      <c r="AP87" s="64">
        <v>3</v>
      </c>
      <c r="AQ87" s="71">
        <f>1-(0.25* (Tabla25[[#This Row],[Nivell categoria]]-1))</f>
        <v>0.5</v>
      </c>
      <c r="AR87" s="64">
        <v>1</v>
      </c>
      <c r="AS87" s="64">
        <v>1</v>
      </c>
      <c r="AT87" s="64">
        <v>1</v>
      </c>
      <c r="AU87" s="64">
        <f>VLOOKUP(Tabla25[[#This Row],[Esport]],Tabla2[],2,FALSE)</f>
        <v>22</v>
      </c>
      <c r="AV87" s="99">
        <f>3-Tabla25[[#This Row],[Nivell categoria]]</f>
        <v>0</v>
      </c>
      <c r="AW87" s="64">
        <f>Tabla25[[#This Row],[Pax]]+Tabla25[[#This Row],[Pax addicional cat.]]</f>
        <v>22</v>
      </c>
    </row>
    <row r="88" spans="1:49" x14ac:dyDescent="0.25">
      <c r="Q88" s="30"/>
      <c r="X88" s="31"/>
      <c r="Z88" s="30"/>
      <c r="AA88" s="5" t="s">
        <v>10</v>
      </c>
      <c r="AB88" s="5" t="s">
        <v>83</v>
      </c>
      <c r="AC88" s="5" t="str">
        <f t="shared" si="19"/>
        <v>EIVISSA-GRAN CANARIA </v>
      </c>
      <c r="AD88" s="30">
        <v>95</v>
      </c>
      <c r="AE88" s="5">
        <v>1</v>
      </c>
      <c r="AG88" s="5" t="s">
        <v>166</v>
      </c>
      <c r="AH88" s="5">
        <v>10</v>
      </c>
      <c r="AJ88" s="60" t="s">
        <v>56</v>
      </c>
      <c r="AL88" s="62" t="s">
        <v>8</v>
      </c>
      <c r="AM88" s="62" t="s">
        <v>183</v>
      </c>
      <c r="AN88" s="62" t="str">
        <f>Tabla25[[#This Row],[Esport i sexe]] &amp; " - " &amp; Tabla25[[#This Row],[Categoria]]</f>
        <v>BÀDMINTON - Divisió d'honor</v>
      </c>
      <c r="AO88" s="62" t="s">
        <v>8</v>
      </c>
      <c r="AP88" s="64">
        <v>1</v>
      </c>
      <c r="AQ88" s="71">
        <f>1-(0.25* (Tabla25[[#This Row],[Nivell categoria]]-1))</f>
        <v>1</v>
      </c>
      <c r="AR88" s="64">
        <v>1</v>
      </c>
      <c r="AS88" s="64">
        <v>1</v>
      </c>
      <c r="AT88" s="64">
        <v>1</v>
      </c>
      <c r="AU88" s="64">
        <f>VLOOKUP(Tabla25[[#This Row],[Esport]],Tabla2[],2,FALSE)</f>
        <v>8</v>
      </c>
      <c r="AV88" s="99">
        <f>3-Tabla25[[#This Row],[Nivell categoria]]</f>
        <v>2</v>
      </c>
      <c r="AW88" s="64">
        <f>Tabla25[[#This Row],[Pax]]+Tabla25[[#This Row],[Pax addicional cat.]]</f>
        <v>10</v>
      </c>
    </row>
    <row r="89" spans="1:49" x14ac:dyDescent="0.25">
      <c r="Q89" s="30"/>
      <c r="X89" s="31"/>
      <c r="Z89" s="30"/>
      <c r="AA89" s="5" t="s">
        <v>10</v>
      </c>
      <c r="AB89" s="5" t="s">
        <v>17</v>
      </c>
      <c r="AC89" s="5" t="str">
        <f t="shared" si="19"/>
        <v>EIVISSA-GRANADA</v>
      </c>
      <c r="AD89" s="30">
        <v>95</v>
      </c>
      <c r="AE89" s="5">
        <v>1</v>
      </c>
      <c r="AG89" s="5" t="s">
        <v>35</v>
      </c>
      <c r="AH89" s="5">
        <v>6</v>
      </c>
      <c r="AJ89" s="61" t="s">
        <v>54</v>
      </c>
      <c r="AL89" s="62" t="s">
        <v>8</v>
      </c>
      <c r="AM89" s="62" t="s">
        <v>101</v>
      </c>
      <c r="AN89" s="62" t="str">
        <f>Tabla25[[#This Row],[Esport i sexe]] &amp; " - " &amp; Tabla25[[#This Row],[Categoria]]</f>
        <v>BÀDMINTON - Primera nacional</v>
      </c>
      <c r="AO89" s="62" t="s">
        <v>8</v>
      </c>
      <c r="AP89" s="64">
        <v>2</v>
      </c>
      <c r="AQ89" s="71">
        <f>1-(0.25* (Tabla25[[#This Row],[Nivell categoria]]-1))</f>
        <v>0.75</v>
      </c>
      <c r="AR89" s="64">
        <v>1</v>
      </c>
      <c r="AS89" s="64">
        <v>1</v>
      </c>
      <c r="AT89" s="64">
        <v>1</v>
      </c>
      <c r="AU89" s="64">
        <f>VLOOKUP(Tabla25[[#This Row],[Esport]],Tabla2[],2,FALSE)</f>
        <v>8</v>
      </c>
      <c r="AV89" s="99">
        <f>3-Tabla25[[#This Row],[Nivell categoria]]</f>
        <v>1</v>
      </c>
      <c r="AW89" s="64">
        <f>Tabla25[[#This Row],[Pax]]+Tabla25[[#This Row],[Pax addicional cat.]]</f>
        <v>9</v>
      </c>
    </row>
    <row r="90" spans="1:49" x14ac:dyDescent="0.25">
      <c r="Q90" s="30"/>
      <c r="X90" s="31"/>
      <c r="Z90" s="30"/>
      <c r="AA90" s="5" t="s">
        <v>10</v>
      </c>
      <c r="AB90" s="5" t="s">
        <v>15</v>
      </c>
      <c r="AC90" s="5" t="str">
        <f t="shared" si="19"/>
        <v>EIVISSA-LA CORUNYA</v>
      </c>
      <c r="AD90" s="30">
        <v>120</v>
      </c>
      <c r="AE90" s="5">
        <v>2</v>
      </c>
      <c r="AG90" s="5" t="s">
        <v>167</v>
      </c>
      <c r="AH90" s="5">
        <v>8</v>
      </c>
      <c r="AJ90" s="63" t="s">
        <v>55</v>
      </c>
      <c r="AL90" s="62" t="s">
        <v>102</v>
      </c>
      <c r="AM90" s="62" t="s">
        <v>103</v>
      </c>
      <c r="AN90" s="62" t="str">
        <f>Tabla25[[#This Row],[Esport i sexe]] &amp; " - " &amp; Tabla25[[#This Row],[Categoria]]</f>
        <v>BÀSQUET FEMENÍ - Lliga femenina ENDESA</v>
      </c>
      <c r="AO90" s="62" t="s">
        <v>29</v>
      </c>
      <c r="AP90" s="64">
        <v>1</v>
      </c>
      <c r="AQ90" s="71">
        <f>1-(0.25* (Tabla25[[#This Row],[Nivell categoria]]-1))</f>
        <v>1</v>
      </c>
      <c r="AR90" s="64">
        <v>1</v>
      </c>
      <c r="AS90" s="64">
        <v>1</v>
      </c>
      <c r="AT90" s="64">
        <v>1</v>
      </c>
      <c r="AU90" s="64">
        <f>VLOOKUP(Tabla25[[#This Row],[Esport]],Tabla2[],2,FALSE)</f>
        <v>13</v>
      </c>
      <c r="AV90" s="99">
        <f>3-Tabla25[[#This Row],[Nivell categoria]]</f>
        <v>2</v>
      </c>
      <c r="AW90" s="64">
        <f>Tabla25[[#This Row],[Pax]]+Tabla25[[#This Row],[Pax addicional cat.]]</f>
        <v>15</v>
      </c>
    </row>
    <row r="91" spans="1:49" x14ac:dyDescent="0.25">
      <c r="Q91" s="30"/>
      <c r="X91" s="31"/>
      <c r="Z91" s="30"/>
      <c r="AA91" s="5" t="s">
        <v>10</v>
      </c>
      <c r="AB91" s="5" t="s">
        <v>13</v>
      </c>
      <c r="AC91" s="5" t="str">
        <f t="shared" si="19"/>
        <v>EIVISSA-MADRID</v>
      </c>
      <c r="AD91" s="30">
        <v>55</v>
      </c>
      <c r="AE91" s="5">
        <v>1</v>
      </c>
      <c r="AG91" s="96" t="s">
        <v>191</v>
      </c>
      <c r="AH91" s="96">
        <v>11</v>
      </c>
      <c r="AL91" s="62" t="s">
        <v>102</v>
      </c>
      <c r="AM91" s="62" t="s">
        <v>104</v>
      </c>
      <c r="AN91" s="62" t="str">
        <f>Tabla25[[#This Row],[Esport i sexe]] &amp; " - " &amp; Tabla25[[#This Row],[Categoria]]</f>
        <v>BÀSQUET FEMENÍ - Lliga Challenge</v>
      </c>
      <c r="AO91" s="62" t="s">
        <v>29</v>
      </c>
      <c r="AP91" s="64">
        <v>2</v>
      </c>
      <c r="AQ91" s="71">
        <f>1-(0.25* (Tabla25[[#This Row],[Nivell categoria]]-1))</f>
        <v>0.75</v>
      </c>
      <c r="AR91" s="64">
        <v>1</v>
      </c>
      <c r="AS91" s="64">
        <v>1</v>
      </c>
      <c r="AT91" s="64">
        <v>1</v>
      </c>
      <c r="AU91" s="64">
        <f>VLOOKUP(Tabla25[[#This Row],[Esport]],Tabla2[],2,FALSE)</f>
        <v>13</v>
      </c>
      <c r="AV91" s="99">
        <f>3-Tabla25[[#This Row],[Nivell categoria]]</f>
        <v>1</v>
      </c>
      <c r="AW91" s="64">
        <f>Tabla25[[#This Row],[Pax]]+Tabla25[[#This Row],[Pax addicional cat.]]</f>
        <v>14</v>
      </c>
    </row>
    <row r="92" spans="1:49" ht="12.75" customHeight="1" x14ac:dyDescent="0.25">
      <c r="Q92" s="30"/>
      <c r="X92" s="31"/>
      <c r="Z92" s="30"/>
      <c r="AA92" s="5" t="s">
        <v>10</v>
      </c>
      <c r="AB92" s="5" t="s">
        <v>84</v>
      </c>
      <c r="AC92" s="5" t="str">
        <f t="shared" si="19"/>
        <v>EIVISSA-MALAGA</v>
      </c>
      <c r="AD92" s="30">
        <v>95</v>
      </c>
      <c r="AE92" s="5">
        <v>1</v>
      </c>
      <c r="AG92" s="5" t="s">
        <v>34</v>
      </c>
      <c r="AH92" s="5">
        <v>13</v>
      </c>
      <c r="AL92" s="62" t="s">
        <v>102</v>
      </c>
      <c r="AM92" s="62" t="s">
        <v>105</v>
      </c>
      <c r="AN92" s="62" t="str">
        <f>Tabla25[[#This Row],[Esport i sexe]] &amp; " - " &amp; Tabla25[[#This Row],[Categoria]]</f>
        <v>BÀSQUET FEMENÍ - Lliga femenina 2</v>
      </c>
      <c r="AO92" s="62" t="s">
        <v>29</v>
      </c>
      <c r="AP92" s="64">
        <v>3</v>
      </c>
      <c r="AQ92" s="71">
        <f>1-(0.25* (Tabla25[[#This Row],[Nivell categoria]]-1))</f>
        <v>0.5</v>
      </c>
      <c r="AR92" s="64">
        <v>1</v>
      </c>
      <c r="AS92" s="64">
        <v>1</v>
      </c>
      <c r="AT92" s="64">
        <v>1</v>
      </c>
      <c r="AU92" s="64">
        <f>VLOOKUP(Tabla25[[#This Row],[Esport]],Tabla2[],2,FALSE)</f>
        <v>13</v>
      </c>
      <c r="AV92" s="99">
        <f>3-Tabla25[[#This Row],[Nivell categoria]]</f>
        <v>0</v>
      </c>
      <c r="AW92" s="64">
        <f>Tabla25[[#This Row],[Pax]]+Tabla25[[#This Row],[Pax addicional cat.]]</f>
        <v>13</v>
      </c>
    </row>
    <row r="93" spans="1:49" x14ac:dyDescent="0.25">
      <c r="Q93" s="30"/>
      <c r="X93" s="31"/>
      <c r="Z93" s="30"/>
      <c r="AA93" s="5" t="s">
        <v>10</v>
      </c>
      <c r="AB93" s="5" t="s">
        <v>18</v>
      </c>
      <c r="AC93" s="5" t="str">
        <f t="shared" si="19"/>
        <v>EIVISSA-MELILLA</v>
      </c>
      <c r="AD93" s="30">
        <v>120</v>
      </c>
      <c r="AE93" s="5">
        <v>2</v>
      </c>
      <c r="AG93" s="5" t="s">
        <v>168</v>
      </c>
      <c r="AH93" s="5">
        <v>8</v>
      </c>
      <c r="AL93" s="62" t="s">
        <v>106</v>
      </c>
      <c r="AM93" s="62" t="s">
        <v>192</v>
      </c>
      <c r="AN93" s="62" t="str">
        <f>Tabla25[[#This Row],[Esport i sexe]] &amp; " - " &amp; Tabla25[[#This Row],[Categoria]]</f>
        <v>BÀSQUET MASCULÍ - Primera FEB</v>
      </c>
      <c r="AO93" s="62" t="s">
        <v>29</v>
      </c>
      <c r="AP93" s="64">
        <v>1</v>
      </c>
      <c r="AQ93" s="71">
        <f>1-(0.25* (Tabla25[[#This Row],[Nivell categoria]]-1))</f>
        <v>1</v>
      </c>
      <c r="AR93" s="64">
        <v>1</v>
      </c>
      <c r="AS93" s="64">
        <v>1</v>
      </c>
      <c r="AT93" s="64">
        <v>1</v>
      </c>
      <c r="AU93" s="64">
        <f>VLOOKUP(Tabla25[[#This Row],[Esport]],Tabla2[],2,FALSE)</f>
        <v>13</v>
      </c>
      <c r="AV93" s="99">
        <f>3-Tabla25[[#This Row],[Nivell categoria]]</f>
        <v>2</v>
      </c>
      <c r="AW93" s="64">
        <f>Tabla25[[#This Row],[Pax]]+Tabla25[[#This Row],[Pax addicional cat.]]</f>
        <v>15</v>
      </c>
    </row>
    <row r="94" spans="1:49" ht="12.75" customHeight="1" x14ac:dyDescent="0.25">
      <c r="Q94" s="30"/>
      <c r="X94" s="31"/>
      <c r="Z94" s="30"/>
      <c r="AA94" s="5" t="s">
        <v>10</v>
      </c>
      <c r="AB94" s="5" t="s">
        <v>12</v>
      </c>
      <c r="AC94" s="5" t="str">
        <f t="shared" si="19"/>
        <v>EIVISSA-OVIEDO</v>
      </c>
      <c r="AD94" s="30">
        <v>120</v>
      </c>
      <c r="AE94" s="5">
        <v>2</v>
      </c>
      <c r="AG94" s="5" t="s">
        <v>33</v>
      </c>
      <c r="AH94" s="5">
        <v>16</v>
      </c>
      <c r="AL94" s="62" t="s">
        <v>106</v>
      </c>
      <c r="AM94" s="62" t="s">
        <v>193</v>
      </c>
      <c r="AN94" s="62" t="str">
        <f>Tabla25[[#This Row],[Esport i sexe]] &amp; " - " &amp; Tabla25[[#This Row],[Categoria]]</f>
        <v>BÀSQUET MASCULÍ - Segona FEB</v>
      </c>
      <c r="AO94" s="62" t="s">
        <v>29</v>
      </c>
      <c r="AP94" s="64">
        <v>2</v>
      </c>
      <c r="AQ94" s="71">
        <f>1-(0.25* (Tabla25[[#This Row],[Nivell categoria]]-1))</f>
        <v>0.75</v>
      </c>
      <c r="AR94" s="64">
        <v>1</v>
      </c>
      <c r="AS94" s="64">
        <v>1</v>
      </c>
      <c r="AT94" s="64">
        <v>1</v>
      </c>
      <c r="AU94" s="64">
        <f>VLOOKUP(Tabla25[[#This Row],[Esport]],Tabla2[],2,FALSE)</f>
        <v>13</v>
      </c>
      <c r="AV94" s="99">
        <f>3-Tabla25[[#This Row],[Nivell categoria]]</f>
        <v>1</v>
      </c>
      <c r="AW94" s="64">
        <f>Tabla25[[#This Row],[Pax]]+Tabla25[[#This Row],[Pax addicional cat.]]</f>
        <v>14</v>
      </c>
    </row>
    <row r="95" spans="1:49" ht="12.75" customHeight="1" x14ac:dyDescent="0.25">
      <c r="Q95" s="30"/>
      <c r="X95" s="31"/>
      <c r="Z95" s="30"/>
      <c r="AA95" s="5" t="s">
        <v>10</v>
      </c>
      <c r="AB95" s="5" t="s">
        <v>14</v>
      </c>
      <c r="AC95" s="5" t="str">
        <f t="shared" si="19"/>
        <v>EIVISSA-SANTIAGO</v>
      </c>
      <c r="AD95" s="30">
        <v>75</v>
      </c>
      <c r="AE95" s="5">
        <v>1</v>
      </c>
      <c r="AG95" s="5" t="s">
        <v>32</v>
      </c>
      <c r="AH95" s="5">
        <v>8</v>
      </c>
      <c r="AJ95" s="60" t="s">
        <v>73</v>
      </c>
      <c r="AL95" s="62" t="s">
        <v>106</v>
      </c>
      <c r="AM95" s="62" t="s">
        <v>194</v>
      </c>
      <c r="AN95" s="62" t="str">
        <f>Tabla25[[#This Row],[Esport i sexe]] &amp; " - " &amp; Tabla25[[#This Row],[Categoria]]</f>
        <v>BÀSQUET MASCULÍ - Tercera FEB</v>
      </c>
      <c r="AO95" s="62" t="s">
        <v>29</v>
      </c>
      <c r="AP95" s="64">
        <v>3</v>
      </c>
      <c r="AQ95" s="71">
        <f>1-(0.25* (Tabla25[[#This Row],[Nivell categoria]]-1))</f>
        <v>0.5</v>
      </c>
      <c r="AR95" s="64">
        <v>1</v>
      </c>
      <c r="AS95" s="64">
        <v>1</v>
      </c>
      <c r="AT95" s="64">
        <v>1</v>
      </c>
      <c r="AU95" s="64">
        <f>VLOOKUP(Tabla25[[#This Row],[Esport]],Tabla2[],2,FALSE)</f>
        <v>13</v>
      </c>
      <c r="AV95" s="99">
        <f>3-Tabla25[[#This Row],[Nivell categoria]]</f>
        <v>0</v>
      </c>
      <c r="AW95" s="64">
        <f>Tabla25[[#This Row],[Pax]]+Tabla25[[#This Row],[Pax addicional cat.]]</f>
        <v>13</v>
      </c>
    </row>
    <row r="96" spans="1:49" x14ac:dyDescent="0.25">
      <c r="Q96" s="30"/>
      <c r="X96" s="31"/>
      <c r="Z96" s="30"/>
      <c r="AA96" s="5" t="s">
        <v>10</v>
      </c>
      <c r="AB96" s="5" t="s">
        <v>52</v>
      </c>
      <c r="AC96" s="5" t="str">
        <f t="shared" si="19"/>
        <v>EIVISSA-SARAGOSSA</v>
      </c>
      <c r="AD96" s="30">
        <v>75</v>
      </c>
      <c r="AE96" s="5">
        <v>1</v>
      </c>
      <c r="AG96" s="5" t="s">
        <v>31</v>
      </c>
      <c r="AH96" s="5">
        <v>6</v>
      </c>
      <c r="AJ96" s="61" t="s">
        <v>75</v>
      </c>
      <c r="AL96" s="62" t="s">
        <v>214</v>
      </c>
      <c r="AM96" s="62" t="s">
        <v>183</v>
      </c>
      <c r="AN96" s="62" t="str">
        <f>Tabla25[[#This Row],[Esport i sexe]] &amp; " - " &amp; Tabla25[[#This Row],[Categoria]]</f>
        <v>BÀSQUET CADIRA RODES - Divisió d'honor</v>
      </c>
      <c r="AO96" s="62" t="s">
        <v>29</v>
      </c>
      <c r="AP96" s="64">
        <v>1</v>
      </c>
      <c r="AQ96" s="71">
        <f>1-(0.25* (Tabla25[[#This Row],[Nivell categoria]]-1))</f>
        <v>1</v>
      </c>
      <c r="AR96" s="64">
        <v>1</v>
      </c>
      <c r="AS96" s="64">
        <v>1</v>
      </c>
      <c r="AT96" s="64">
        <v>1</v>
      </c>
      <c r="AU96" s="64">
        <f>VLOOKUP(Tabla25[[#This Row],[Esport]],Tabla2[],2,FALSE)</f>
        <v>13</v>
      </c>
      <c r="AV96" s="99">
        <f>3-Tabla25[[#This Row],[Nivell categoria]]</f>
        <v>2</v>
      </c>
      <c r="AW96" s="64">
        <f>Tabla25[[#This Row],[Pax]]+Tabla25[[#This Row],[Pax addicional cat.]]</f>
        <v>15</v>
      </c>
    </row>
    <row r="97" spans="17:49" x14ac:dyDescent="0.25">
      <c r="Q97" s="30"/>
      <c r="X97" s="31"/>
      <c r="Z97" s="30"/>
      <c r="AA97" s="5" t="s">
        <v>10</v>
      </c>
      <c r="AB97" s="5" t="s">
        <v>16</v>
      </c>
      <c r="AC97" s="5" t="str">
        <f t="shared" si="19"/>
        <v>EIVISSA-SEVILLA</v>
      </c>
      <c r="AD97" s="30">
        <v>55</v>
      </c>
      <c r="AE97" s="5">
        <v>1</v>
      </c>
      <c r="AG97" s="5" t="s">
        <v>30</v>
      </c>
      <c r="AH97" s="5">
        <v>5</v>
      </c>
      <c r="AJ97" s="63" t="s">
        <v>76</v>
      </c>
      <c r="AL97" s="62" t="s">
        <v>215</v>
      </c>
      <c r="AM97" s="62" t="s">
        <v>98</v>
      </c>
      <c r="AN97" s="62" t="str">
        <f>Tabla25[[#This Row],[Esport i sexe]] &amp; " - " &amp; Tabla25[[#This Row],[Categoria]]</f>
        <v>ESBLANCO(I11) - Primera divisió</v>
      </c>
      <c r="AO97" s="62" t="s">
        <v>29</v>
      </c>
      <c r="AP97" s="64">
        <v>2</v>
      </c>
      <c r="AQ97" s="71">
        <f>1-(0.25* (Tabla25[[#This Row],[Nivell categoria]]-1))</f>
        <v>0.75</v>
      </c>
      <c r="AR97" s="64">
        <v>1</v>
      </c>
      <c r="AS97" s="64">
        <v>1</v>
      </c>
      <c r="AT97" s="64">
        <v>1</v>
      </c>
      <c r="AU97" s="64">
        <f>VLOOKUP(Tabla25[[#This Row],[Esport]],Tabla2[],2,FALSE)</f>
        <v>13</v>
      </c>
      <c r="AV97" s="99">
        <f>3-Tabla25[[#This Row],[Nivell categoria]]</f>
        <v>1</v>
      </c>
      <c r="AW97" s="64">
        <f>Tabla25[[#This Row],[Pax]]+Tabla25[[#This Row],[Pax addicional cat.]]</f>
        <v>14</v>
      </c>
    </row>
    <row r="98" spans="17:49" ht="12.75" customHeight="1" x14ac:dyDescent="0.25">
      <c r="Q98" s="30"/>
      <c r="X98" s="31"/>
      <c r="Z98" s="30"/>
      <c r="AA98" s="5" t="s">
        <v>10</v>
      </c>
      <c r="AB98" s="5" t="s">
        <v>1</v>
      </c>
      <c r="AC98" s="5" t="str">
        <f t="shared" si="19"/>
        <v>EIVISSA-TENERIFE</v>
      </c>
      <c r="AD98" s="30">
        <v>120</v>
      </c>
      <c r="AE98" s="5">
        <v>2</v>
      </c>
      <c r="AG98" s="5" t="s">
        <v>29</v>
      </c>
      <c r="AH98" s="5">
        <v>13</v>
      </c>
      <c r="AL98" s="62" t="s">
        <v>38</v>
      </c>
      <c r="AM98" s="62" t="s">
        <v>97</v>
      </c>
      <c r="AN98" s="62" t="str">
        <f>Tabla25[[#This Row],[Esport i sexe]] &amp; " - " &amp; Tabla25[[#This Row],[Categoria]]</f>
        <v>BILLAR - Divisió d’honor</v>
      </c>
      <c r="AO98" s="62" t="s">
        <v>38</v>
      </c>
      <c r="AP98" s="64">
        <v>1</v>
      </c>
      <c r="AQ98" s="71">
        <f>1-(0.25* (Tabla25[[#This Row],[Nivell categoria]]-1))</f>
        <v>1</v>
      </c>
      <c r="AR98" s="64">
        <v>1</v>
      </c>
      <c r="AS98" s="64">
        <v>1</v>
      </c>
      <c r="AT98" s="64">
        <v>1</v>
      </c>
      <c r="AU98" s="64">
        <f>VLOOKUP(Tabla25[[#This Row],[Esport]],Tabla2[],2,FALSE)</f>
        <v>4</v>
      </c>
      <c r="AV98" s="99">
        <f>3-Tabla25[[#This Row],[Nivell categoria]]</f>
        <v>2</v>
      </c>
      <c r="AW98" s="64">
        <f>Tabla25[[#This Row],[Pax]]+Tabla25[[#This Row],[Pax addicional cat.]]</f>
        <v>6</v>
      </c>
    </row>
    <row r="99" spans="17:49" x14ac:dyDescent="0.25">
      <c r="Q99" s="30"/>
      <c r="X99" s="31"/>
      <c r="Z99" s="30"/>
      <c r="AA99" s="5" t="s">
        <v>10</v>
      </c>
      <c r="AB99" s="5" t="s">
        <v>92</v>
      </c>
      <c r="AC99" s="5" t="str">
        <f t="shared" si="19"/>
        <v>EIVISSA-VALÈNCIA (avió)</v>
      </c>
      <c r="AD99" s="30">
        <v>55</v>
      </c>
      <c r="AE99" s="5">
        <v>1</v>
      </c>
      <c r="AG99" s="5" t="s">
        <v>28</v>
      </c>
      <c r="AH99" s="5">
        <v>19</v>
      </c>
      <c r="AL99" s="62" t="s">
        <v>38</v>
      </c>
      <c r="AM99" s="62" t="s">
        <v>98</v>
      </c>
      <c r="AN99" s="62" t="str">
        <f>Tabla25[[#This Row],[Esport i sexe]] &amp; " - " &amp; Tabla25[[#This Row],[Categoria]]</f>
        <v>BILLAR - Primera divisió</v>
      </c>
      <c r="AO99" s="62" t="s">
        <v>38</v>
      </c>
      <c r="AP99" s="64">
        <v>2</v>
      </c>
      <c r="AQ99" s="71">
        <f>1-(0.25* (Tabla25[[#This Row],[Nivell categoria]]-1))</f>
        <v>0.75</v>
      </c>
      <c r="AR99" s="64">
        <v>1</v>
      </c>
      <c r="AS99" s="64">
        <v>1</v>
      </c>
      <c r="AT99" s="64">
        <v>1</v>
      </c>
      <c r="AU99" s="64">
        <f>VLOOKUP(Tabla25[[#This Row],[Esport]],Tabla2[],2,FALSE)</f>
        <v>4</v>
      </c>
      <c r="AV99" s="99">
        <f>3-Tabla25[[#This Row],[Nivell categoria]]</f>
        <v>1</v>
      </c>
      <c r="AW99" s="64">
        <f>Tabla25[[#This Row],[Pax]]+Tabla25[[#This Row],[Pax addicional cat.]]</f>
        <v>5</v>
      </c>
    </row>
    <row r="100" spans="17:49" x14ac:dyDescent="0.25">
      <c r="Q100" s="30"/>
      <c r="X100" s="31"/>
      <c r="Z100" s="30"/>
      <c r="AA100" s="5" t="s">
        <v>10</v>
      </c>
      <c r="AB100" s="5" t="s">
        <v>89</v>
      </c>
      <c r="AC100" s="5" t="str">
        <f t="shared" si="19"/>
        <v>EIVISSA-VALÈNCIA (vaixell)</v>
      </c>
      <c r="AD100" s="30">
        <v>23</v>
      </c>
      <c r="AE100" s="5">
        <v>1</v>
      </c>
      <c r="AG100" s="5" t="s">
        <v>27</v>
      </c>
      <c r="AH100" s="5">
        <v>14</v>
      </c>
      <c r="AJ100" s="60" t="s">
        <v>77</v>
      </c>
      <c r="AL100" s="62" t="s">
        <v>38</v>
      </c>
      <c r="AM100" s="62" t="s">
        <v>99</v>
      </c>
      <c r="AN100" s="62" t="str">
        <f>Tabla25[[#This Row],[Esport i sexe]] &amp; " - " &amp; Tabla25[[#This Row],[Categoria]]</f>
        <v>BILLAR - Segona divisió</v>
      </c>
      <c r="AO100" s="62" t="s">
        <v>38</v>
      </c>
      <c r="AP100" s="64">
        <v>3</v>
      </c>
      <c r="AQ100" s="71">
        <f>1-(0.25* (Tabla25[[#This Row],[Nivell categoria]]-1))</f>
        <v>0.5</v>
      </c>
      <c r="AR100" s="64">
        <v>1</v>
      </c>
      <c r="AS100" s="64">
        <v>1</v>
      </c>
      <c r="AT100" s="64">
        <v>1</v>
      </c>
      <c r="AU100" s="64">
        <f>VLOOKUP(Tabla25[[#This Row],[Esport]],Tabla2[],2,FALSE)</f>
        <v>4</v>
      </c>
      <c r="AV100" s="99">
        <f>3-Tabla25[[#This Row],[Nivell categoria]]</f>
        <v>0</v>
      </c>
      <c r="AW100" s="64">
        <f>Tabla25[[#This Row],[Pax]]+Tabla25[[#This Row],[Pax addicional cat.]]</f>
        <v>4</v>
      </c>
    </row>
    <row r="101" spans="17:49" ht="12.75" customHeight="1" x14ac:dyDescent="0.25">
      <c r="Q101" s="30"/>
      <c r="X101" s="31"/>
      <c r="Z101" s="30"/>
      <c r="AA101" s="5" t="s">
        <v>24</v>
      </c>
      <c r="AB101" s="5" t="s">
        <v>90</v>
      </c>
      <c r="AC101" s="5" t="str">
        <f t="shared" si="19"/>
        <v>MALLORCA-ALACANT (avió)</v>
      </c>
      <c r="AD101" s="30">
        <v>55</v>
      </c>
      <c r="AE101" s="5">
        <v>1</v>
      </c>
      <c r="AG101" s="5" t="s">
        <v>26</v>
      </c>
      <c r="AH101" s="5">
        <v>31</v>
      </c>
      <c r="AJ101" s="61" t="s">
        <v>153</v>
      </c>
      <c r="AL101" s="62" t="s">
        <v>37</v>
      </c>
      <c r="AM101" s="62" t="s">
        <v>97</v>
      </c>
      <c r="AN101" s="62" t="str">
        <f>Tabla25[[#This Row],[Esport i sexe]] &amp; " - " &amp; Tabla25[[#This Row],[Categoria]]</f>
        <v>BITLLES - Divisió d’honor</v>
      </c>
      <c r="AO101" s="62" t="s">
        <v>37</v>
      </c>
      <c r="AP101" s="64">
        <v>1</v>
      </c>
      <c r="AQ101" s="71">
        <f>1-(0.25* (Tabla25[[#This Row],[Nivell categoria]]-1))</f>
        <v>1</v>
      </c>
      <c r="AR101" s="64">
        <v>1</v>
      </c>
      <c r="AS101" s="64">
        <v>1</v>
      </c>
      <c r="AT101" s="64">
        <v>1</v>
      </c>
      <c r="AU101" s="64">
        <f>VLOOKUP(Tabla25[[#This Row],[Esport]],Tabla2[],2,FALSE)</f>
        <v>8</v>
      </c>
      <c r="AV101" s="99">
        <f>3-Tabla25[[#This Row],[Nivell categoria]]</f>
        <v>2</v>
      </c>
      <c r="AW101" s="64">
        <f>Tabla25[[#This Row],[Pax]]+Tabla25[[#This Row],[Pax addicional cat.]]</f>
        <v>10</v>
      </c>
    </row>
    <row r="102" spans="17:49" x14ac:dyDescent="0.25">
      <c r="Q102" s="30"/>
      <c r="X102" s="31"/>
      <c r="Z102" s="30"/>
      <c r="AA102" s="5" t="s">
        <v>24</v>
      </c>
      <c r="AB102" s="5" t="s">
        <v>86</v>
      </c>
      <c r="AC102" s="5" t="str">
        <f t="shared" si="19"/>
        <v>MALLORCA-ALACANT (vaixell)</v>
      </c>
      <c r="AD102" s="30">
        <v>23</v>
      </c>
      <c r="AE102" s="5">
        <v>1</v>
      </c>
      <c r="AG102" s="5" t="s">
        <v>25</v>
      </c>
      <c r="AH102" s="5">
        <v>15</v>
      </c>
      <c r="AJ102" s="63" t="s">
        <v>78</v>
      </c>
      <c r="AL102" s="62" t="s">
        <v>37</v>
      </c>
      <c r="AM102" s="62" t="s">
        <v>98</v>
      </c>
      <c r="AN102" s="62" t="str">
        <f>Tabla25[[#This Row],[Esport i sexe]] &amp; " - " &amp; Tabla25[[#This Row],[Categoria]]</f>
        <v>BITLLES - Primera divisió</v>
      </c>
      <c r="AO102" s="62" t="s">
        <v>37</v>
      </c>
      <c r="AP102" s="64">
        <v>2</v>
      </c>
      <c r="AQ102" s="71">
        <f>1-(0.25* (Tabla25[[#This Row],[Nivell categoria]]-1))</f>
        <v>0.75</v>
      </c>
      <c r="AR102" s="64">
        <v>1</v>
      </c>
      <c r="AS102" s="64">
        <v>1</v>
      </c>
      <c r="AT102" s="64">
        <v>1</v>
      </c>
      <c r="AU102" s="64">
        <f>VLOOKUP(Tabla25[[#This Row],[Esport]],Tabla2[],2,FALSE)</f>
        <v>8</v>
      </c>
      <c r="AV102" s="99">
        <f>3-Tabla25[[#This Row],[Nivell categoria]]</f>
        <v>1</v>
      </c>
      <c r="AW102" s="64">
        <f>Tabla25[[#This Row],[Pax]]+Tabla25[[#This Row],[Pax addicional cat.]]</f>
        <v>9</v>
      </c>
    </row>
    <row r="103" spans="17:49" x14ac:dyDescent="0.25">
      <c r="Q103" s="30"/>
      <c r="X103" s="31"/>
      <c r="Z103" s="30"/>
      <c r="AA103" s="5" t="s">
        <v>24</v>
      </c>
      <c r="AB103" s="5" t="s">
        <v>91</v>
      </c>
      <c r="AC103" s="5" t="str">
        <f t="shared" si="19"/>
        <v>MALLORCA-BARCELONA (avió)</v>
      </c>
      <c r="AD103" s="30">
        <v>55</v>
      </c>
      <c r="AE103" s="5">
        <v>1</v>
      </c>
      <c r="AG103" s="5" t="s">
        <v>23</v>
      </c>
      <c r="AH103" s="5">
        <v>15</v>
      </c>
      <c r="AL103" s="62" t="s">
        <v>37</v>
      </c>
      <c r="AM103" s="62" t="s">
        <v>99</v>
      </c>
      <c r="AN103" s="62" t="str">
        <f>Tabla25[[#This Row],[Esport i sexe]] &amp; " - " &amp; Tabla25[[#This Row],[Categoria]]</f>
        <v>BITLLES - Segona divisió</v>
      </c>
      <c r="AO103" s="62" t="s">
        <v>37</v>
      </c>
      <c r="AP103" s="64">
        <v>3</v>
      </c>
      <c r="AQ103" s="71">
        <f>1-(0.25* (Tabla25[[#This Row],[Nivell categoria]]-1))</f>
        <v>0.5</v>
      </c>
      <c r="AR103" s="64">
        <v>1</v>
      </c>
      <c r="AS103" s="64">
        <v>1</v>
      </c>
      <c r="AT103" s="64">
        <v>1</v>
      </c>
      <c r="AU103" s="64">
        <f>VLOOKUP(Tabla25[[#This Row],[Esport]],Tabla2[],2,FALSE)</f>
        <v>8</v>
      </c>
      <c r="AV103" s="99">
        <f>3-Tabla25[[#This Row],[Nivell categoria]]</f>
        <v>0</v>
      </c>
      <c r="AW103" s="64">
        <f>Tabla25[[#This Row],[Pax]]+Tabla25[[#This Row],[Pax addicional cat.]]</f>
        <v>8</v>
      </c>
    </row>
    <row r="104" spans="17:49" ht="15" x14ac:dyDescent="0.25">
      <c r="Q104" s="30"/>
      <c r="X104" s="31"/>
      <c r="Z104" s="30"/>
      <c r="AA104" s="5" t="s">
        <v>24</v>
      </c>
      <c r="AB104" s="5" t="s">
        <v>87</v>
      </c>
      <c r="AC104" s="5" t="str">
        <f t="shared" si="19"/>
        <v>MALLORCA-BARCELONA (vaixell)</v>
      </c>
      <c r="AD104" s="30">
        <v>23</v>
      </c>
      <c r="AE104" s="5">
        <v>1</v>
      </c>
      <c r="AG104" s="5" t="s">
        <v>22</v>
      </c>
      <c r="AH104" s="5">
        <v>23</v>
      </c>
      <c r="AJ104" s="60" t="s">
        <v>45</v>
      </c>
      <c r="AL104" s="62" t="s">
        <v>165</v>
      </c>
      <c r="AM104" t="s">
        <v>184</v>
      </c>
      <c r="AN104" s="62" t="str">
        <f>Tabla25[[#This Row],[Esport i sexe]] &amp; " - " &amp; Tabla25[[#This Row],[Categoria]]</f>
        <v>CICLISME - UCI Continental Team</v>
      </c>
      <c r="AO104" s="62" t="s">
        <v>165</v>
      </c>
      <c r="AP104" s="64">
        <v>1</v>
      </c>
      <c r="AQ104" s="71">
        <f>1-(0.25* (Tabla25[[#This Row],[Nivell categoria]]-1))</f>
        <v>1</v>
      </c>
      <c r="AR104" s="64">
        <v>1</v>
      </c>
      <c r="AS104" s="64">
        <v>1</v>
      </c>
      <c r="AT104" s="64">
        <v>1</v>
      </c>
      <c r="AU104" s="64">
        <f>VLOOKUP(Tabla25[[#This Row],[Esport]],Tabla2[],2,FALSE)</f>
        <v>8</v>
      </c>
      <c r="AV104" s="99">
        <f>3-Tabla25[[#This Row],[Nivell categoria]]</f>
        <v>2</v>
      </c>
      <c r="AW104" s="64">
        <f>Tabla25[[#This Row],[Pax]]+Tabla25[[#This Row],[Pax addicional cat.]]</f>
        <v>10</v>
      </c>
    </row>
    <row r="105" spans="17:49" ht="12.75" customHeight="1" x14ac:dyDescent="0.25">
      <c r="Q105" s="30"/>
      <c r="X105" s="31"/>
      <c r="Z105" s="30"/>
      <c r="AA105" s="5" t="s">
        <v>24</v>
      </c>
      <c r="AB105" s="5" t="s">
        <v>0</v>
      </c>
      <c r="AC105" s="5" t="str">
        <f t="shared" si="19"/>
        <v>MALLORCA-BILBAO</v>
      </c>
      <c r="AD105" s="30">
        <v>55</v>
      </c>
      <c r="AE105" s="5">
        <v>1</v>
      </c>
      <c r="AG105" s="5" t="s">
        <v>21</v>
      </c>
      <c r="AH105" s="5">
        <v>15</v>
      </c>
      <c r="AJ105" s="61" t="s">
        <v>46</v>
      </c>
      <c r="AL105" s="62" t="s">
        <v>36</v>
      </c>
      <c r="AM105" s="62" t="s">
        <v>97</v>
      </c>
      <c r="AN105" s="62" t="str">
        <f>Tabla25[[#This Row],[Esport i sexe]] &amp; " - " &amp; Tabla25[[#This Row],[Categoria]]</f>
        <v>ESCACS - Divisió d’honor</v>
      </c>
      <c r="AO105" s="62" t="s">
        <v>36</v>
      </c>
      <c r="AP105" s="64">
        <v>1</v>
      </c>
      <c r="AQ105" s="71">
        <f>1-(0.25* (Tabla25[[#This Row],[Nivell categoria]]-1))</f>
        <v>1</v>
      </c>
      <c r="AR105" s="64">
        <v>1</v>
      </c>
      <c r="AS105" s="64">
        <v>1</v>
      </c>
      <c r="AT105" s="64">
        <v>1</v>
      </c>
      <c r="AU105" s="64">
        <f>VLOOKUP(Tabla25[[#This Row],[Esport]],Tabla2[],2,FALSE)</f>
        <v>5</v>
      </c>
      <c r="AV105" s="99">
        <f>3-Tabla25[[#This Row],[Nivell categoria]]</f>
        <v>2</v>
      </c>
      <c r="AW105" s="64">
        <f>Tabla25[[#This Row],[Pax]]+Tabla25[[#This Row],[Pax addicional cat.]]</f>
        <v>7</v>
      </c>
    </row>
    <row r="106" spans="17:49" x14ac:dyDescent="0.25">
      <c r="Q106" s="30"/>
      <c r="X106" s="31"/>
      <c r="Z106" s="30"/>
      <c r="AA106" s="5" t="s">
        <v>24</v>
      </c>
      <c r="AB106" s="5" t="s">
        <v>88</v>
      </c>
      <c r="AC106" s="5" t="str">
        <f t="shared" si="19"/>
        <v>MALLORCA-DÉNIA (vaixell)</v>
      </c>
      <c r="AD106" s="30">
        <v>23</v>
      </c>
      <c r="AE106" s="5">
        <v>1</v>
      </c>
      <c r="AG106" s="5" t="s">
        <v>20</v>
      </c>
      <c r="AH106" s="5">
        <v>14</v>
      </c>
      <c r="AJ106" s="63" t="s">
        <v>47</v>
      </c>
      <c r="AL106" s="62" t="s">
        <v>36</v>
      </c>
      <c r="AM106" s="62" t="s">
        <v>98</v>
      </c>
      <c r="AN106" s="62" t="str">
        <f>Tabla25[[#This Row],[Esport i sexe]] &amp; " - " &amp; Tabla25[[#This Row],[Categoria]]</f>
        <v>ESCACS - Primera divisió</v>
      </c>
      <c r="AO106" s="62" t="s">
        <v>36</v>
      </c>
      <c r="AP106" s="64">
        <v>2</v>
      </c>
      <c r="AQ106" s="71">
        <f>1-(0.25* (Tabla25[[#This Row],[Nivell categoria]]-1))</f>
        <v>0.75</v>
      </c>
      <c r="AR106" s="64">
        <v>1</v>
      </c>
      <c r="AS106" s="64">
        <v>1</v>
      </c>
      <c r="AT106" s="64">
        <v>1</v>
      </c>
      <c r="AU106" s="64">
        <f>VLOOKUP(Tabla25[[#This Row],[Esport]],Tabla2[],2,FALSE)</f>
        <v>5</v>
      </c>
      <c r="AV106" s="99">
        <f>3-Tabla25[[#This Row],[Nivell categoria]]</f>
        <v>1</v>
      </c>
      <c r="AW106" s="64">
        <f>Tabla25[[#This Row],[Pax]]+Tabla25[[#This Row],[Pax addicional cat.]]</f>
        <v>6</v>
      </c>
    </row>
    <row r="107" spans="17:49" x14ac:dyDescent="0.25">
      <c r="Q107" s="30"/>
      <c r="X107" s="31"/>
      <c r="Z107" s="30"/>
      <c r="AA107" s="5" t="s">
        <v>24</v>
      </c>
      <c r="AB107" s="5" t="s">
        <v>83</v>
      </c>
      <c r="AC107" s="5" t="str">
        <f t="shared" si="19"/>
        <v>MALLORCA-GRAN CANARIA </v>
      </c>
      <c r="AD107" s="30">
        <v>120</v>
      </c>
      <c r="AE107" s="5">
        <v>2</v>
      </c>
      <c r="AJ107" s="61" t="s">
        <v>48</v>
      </c>
      <c r="AL107" s="62" t="s">
        <v>36</v>
      </c>
      <c r="AM107" s="62" t="s">
        <v>99</v>
      </c>
      <c r="AN107" s="62" t="str">
        <f>Tabla25[[#This Row],[Esport i sexe]] &amp; " - " &amp; Tabla25[[#This Row],[Categoria]]</f>
        <v>ESCACS - Segona divisió</v>
      </c>
      <c r="AO107" s="62" t="s">
        <v>36</v>
      </c>
      <c r="AP107" s="64">
        <v>3</v>
      </c>
      <c r="AQ107" s="71">
        <f>1-(0.25* (Tabla25[[#This Row],[Nivell categoria]]-1))</f>
        <v>0.5</v>
      </c>
      <c r="AR107" s="64">
        <v>1</v>
      </c>
      <c r="AS107" s="64">
        <v>1</v>
      </c>
      <c r="AT107" s="64">
        <v>1</v>
      </c>
      <c r="AU107" s="64">
        <f>VLOOKUP(Tabla25[[#This Row],[Esport]],Tabla2[],2,FALSE)</f>
        <v>5</v>
      </c>
      <c r="AV107" s="99">
        <f>3-Tabla25[[#This Row],[Nivell categoria]]</f>
        <v>0</v>
      </c>
      <c r="AW107" s="64">
        <f>Tabla25[[#This Row],[Pax]]+Tabla25[[#This Row],[Pax addicional cat.]]</f>
        <v>5</v>
      </c>
    </row>
    <row r="108" spans="17:49" ht="12.75" customHeight="1" x14ac:dyDescent="0.25">
      <c r="Q108" s="30"/>
      <c r="X108" s="31"/>
      <c r="Z108" s="30"/>
      <c r="AA108" s="5" t="s">
        <v>24</v>
      </c>
      <c r="AB108" s="5" t="s">
        <v>17</v>
      </c>
      <c r="AC108" s="5" t="str">
        <f t="shared" si="19"/>
        <v>MALLORCA-GRANADA</v>
      </c>
      <c r="AD108" s="30">
        <v>55</v>
      </c>
      <c r="AE108" s="5">
        <v>1</v>
      </c>
      <c r="AL108" s="62" t="s">
        <v>26</v>
      </c>
      <c r="AM108" s="62" t="s">
        <v>107</v>
      </c>
      <c r="AN108" s="62" t="str">
        <f>Tabla25[[#This Row],[Esport i sexe]] &amp; " - " &amp; Tabla25[[#This Row],[Categoria]]</f>
        <v>FUTBOL AMERICÀ - Sèrie A</v>
      </c>
      <c r="AO108" s="62" t="s">
        <v>26</v>
      </c>
      <c r="AP108" s="64">
        <v>1</v>
      </c>
      <c r="AQ108" s="71">
        <f>1-(0.25* (Tabla25[[#This Row],[Nivell categoria]]-1))</f>
        <v>1</v>
      </c>
      <c r="AR108" s="64">
        <v>1</v>
      </c>
      <c r="AS108" s="64">
        <v>1</v>
      </c>
      <c r="AT108" s="64">
        <v>1</v>
      </c>
      <c r="AU108" s="64">
        <f>VLOOKUP(Tabla25[[#This Row],[Esport]],Tabla2[],2,FALSE)</f>
        <v>31</v>
      </c>
      <c r="AV108" s="99">
        <f>3-Tabla25[[#This Row],[Nivell categoria]]</f>
        <v>2</v>
      </c>
      <c r="AW108" s="64">
        <f>Tabla25[[#This Row],[Pax]]+Tabla25[[#This Row],[Pax addicional cat.]]</f>
        <v>33</v>
      </c>
    </row>
    <row r="109" spans="17:49" x14ac:dyDescent="0.25">
      <c r="Q109" s="30"/>
      <c r="X109" s="31"/>
      <c r="Z109" s="30"/>
      <c r="AA109" s="5" t="s">
        <v>24</v>
      </c>
      <c r="AB109" s="5" t="s">
        <v>15</v>
      </c>
      <c r="AC109" s="5" t="str">
        <f t="shared" si="19"/>
        <v>MALLORCA-LA CORUNYA</v>
      </c>
      <c r="AD109" s="30">
        <v>75</v>
      </c>
      <c r="AE109" s="5">
        <v>1</v>
      </c>
      <c r="AL109" s="62" t="s">
        <v>26</v>
      </c>
      <c r="AM109" s="62" t="s">
        <v>108</v>
      </c>
      <c r="AN109" s="62" t="str">
        <f>Tabla25[[#This Row],[Esport i sexe]] &amp; " - " &amp; Tabla25[[#This Row],[Categoria]]</f>
        <v>FUTBOL AMERICÀ - Sèrie B</v>
      </c>
      <c r="AO109" s="62" t="s">
        <v>26</v>
      </c>
      <c r="AP109" s="64">
        <v>2</v>
      </c>
      <c r="AQ109" s="71">
        <f>1-(0.25* (Tabla25[[#This Row],[Nivell categoria]]-1))</f>
        <v>0.75</v>
      </c>
      <c r="AR109" s="64">
        <v>1</v>
      </c>
      <c r="AS109" s="64">
        <v>1</v>
      </c>
      <c r="AT109" s="64">
        <v>1</v>
      </c>
      <c r="AU109" s="64">
        <f>VLOOKUP(Tabla25[[#This Row],[Esport]],Tabla2[],2,FALSE)</f>
        <v>31</v>
      </c>
      <c r="AV109" s="99">
        <f>3-Tabla25[[#This Row],[Nivell categoria]]</f>
        <v>1</v>
      </c>
      <c r="AW109" s="64">
        <f>Tabla25[[#This Row],[Pax]]+Tabla25[[#This Row],[Pax addicional cat.]]</f>
        <v>32</v>
      </c>
    </row>
    <row r="110" spans="17:49" ht="12.75" customHeight="1" x14ac:dyDescent="0.25">
      <c r="Q110" s="30"/>
      <c r="X110" s="31"/>
      <c r="Z110" s="30"/>
      <c r="AA110" s="5" t="s">
        <v>24</v>
      </c>
      <c r="AB110" s="5" t="s">
        <v>13</v>
      </c>
      <c r="AC110" s="5" t="str">
        <f t="shared" si="19"/>
        <v>MALLORCA-MADRID</v>
      </c>
      <c r="AD110" s="30">
        <v>55</v>
      </c>
      <c r="AE110" s="5">
        <v>1</v>
      </c>
      <c r="AL110" s="62" t="s">
        <v>109</v>
      </c>
      <c r="AM110" s="62" t="s">
        <v>195</v>
      </c>
      <c r="AN110" s="62" t="str">
        <f>Tabla25[[#This Row],[Esport i sexe]] &amp; " - " &amp; Tabla25[[#This Row],[Categoria]]</f>
        <v>FUTBOL FEMENÍ - Primera Federació Iberdrola</v>
      </c>
      <c r="AO110" s="62" t="s">
        <v>28</v>
      </c>
      <c r="AP110" s="64">
        <v>1</v>
      </c>
      <c r="AQ110" s="71">
        <f>1-(0.25* (Tabla25[[#This Row],[Nivell categoria]]-1))</f>
        <v>1</v>
      </c>
      <c r="AR110" s="64">
        <v>1</v>
      </c>
      <c r="AS110" s="64">
        <v>1</v>
      </c>
      <c r="AT110" s="64">
        <v>1</v>
      </c>
      <c r="AU110" s="64">
        <f>VLOOKUP(Tabla25[[#This Row],[Esport]],Tabla2[],2,FALSE)</f>
        <v>19</v>
      </c>
      <c r="AV110" s="99">
        <f>3-Tabla25[[#This Row],[Nivell categoria]]</f>
        <v>2</v>
      </c>
      <c r="AW110" s="64">
        <f>Tabla25[[#This Row],[Pax]]+Tabla25[[#This Row],[Pax addicional cat.]]</f>
        <v>21</v>
      </c>
    </row>
    <row r="111" spans="17:49" x14ac:dyDescent="0.25">
      <c r="Q111" s="30"/>
      <c r="X111" s="31"/>
      <c r="Z111" s="30"/>
      <c r="AA111" s="5" t="s">
        <v>24</v>
      </c>
      <c r="AB111" s="5" t="s">
        <v>84</v>
      </c>
      <c r="AC111" s="5" t="str">
        <f t="shared" si="19"/>
        <v>MALLORCA-MALAGA</v>
      </c>
      <c r="AD111" s="30">
        <v>55</v>
      </c>
      <c r="AE111" s="5">
        <v>1</v>
      </c>
      <c r="AL111" s="62" t="s">
        <v>109</v>
      </c>
      <c r="AM111" s="62" t="s">
        <v>196</v>
      </c>
      <c r="AN111" s="62" t="str">
        <f>Tabla25[[#This Row],[Esport i sexe]] &amp; " - " &amp; Tabla25[[#This Row],[Categoria]]</f>
        <v>FUTBOL FEMENÍ - Segona Federació</v>
      </c>
      <c r="AO111" s="62" t="s">
        <v>28</v>
      </c>
      <c r="AP111" s="64">
        <v>2</v>
      </c>
      <c r="AQ111" s="71">
        <f>1-(0.25* (Tabla25[[#This Row],[Nivell categoria]]-1))</f>
        <v>0.75</v>
      </c>
      <c r="AR111" s="64">
        <v>1</v>
      </c>
      <c r="AS111" s="64">
        <v>1</v>
      </c>
      <c r="AT111" s="64">
        <v>1</v>
      </c>
      <c r="AU111" s="64">
        <f>VLOOKUP(Tabla25[[#This Row],[Esport]],Tabla2[],2,FALSE)</f>
        <v>19</v>
      </c>
      <c r="AV111" s="99">
        <f>3-Tabla25[[#This Row],[Nivell categoria]]</f>
        <v>1</v>
      </c>
      <c r="AW111" s="64">
        <f>Tabla25[[#This Row],[Pax]]+Tabla25[[#This Row],[Pax addicional cat.]]</f>
        <v>20</v>
      </c>
    </row>
    <row r="112" spans="17:49" x14ac:dyDescent="0.25">
      <c r="Q112" s="30"/>
      <c r="X112" s="31"/>
      <c r="Z112" s="30"/>
      <c r="AA112" s="5" t="s">
        <v>24</v>
      </c>
      <c r="AB112" s="5" t="s">
        <v>18</v>
      </c>
      <c r="AC112" s="5" t="str">
        <f t="shared" si="19"/>
        <v>MALLORCA-MELILLA</v>
      </c>
      <c r="AD112" s="30">
        <v>120</v>
      </c>
      <c r="AE112" s="5">
        <v>2</v>
      </c>
      <c r="AL112" s="62" t="s">
        <v>109</v>
      </c>
      <c r="AM112" s="62" t="s">
        <v>197</v>
      </c>
      <c r="AN112" s="62" t="str">
        <f>Tabla25[[#This Row],[Esport i sexe]] &amp; " - " &amp; Tabla25[[#This Row],[Categoria]]</f>
        <v>FUTBOL FEMENÍ - Tercera Federació</v>
      </c>
      <c r="AO112" s="62" t="s">
        <v>28</v>
      </c>
      <c r="AP112" s="64">
        <v>3</v>
      </c>
      <c r="AQ112" s="71">
        <f>1-(0.25* (Tabla25[[#This Row],[Nivell categoria]]-1))</f>
        <v>0.5</v>
      </c>
      <c r="AR112" s="64">
        <v>1</v>
      </c>
      <c r="AS112" s="64">
        <v>1</v>
      </c>
      <c r="AT112" s="64">
        <v>1</v>
      </c>
      <c r="AU112" s="64">
        <f>VLOOKUP(Tabla25[[#This Row],[Esport]],Tabla2[],2,FALSE)</f>
        <v>19</v>
      </c>
      <c r="AV112" s="99">
        <f>3-Tabla25[[#This Row],[Nivell categoria]]</f>
        <v>0</v>
      </c>
      <c r="AW112" s="64">
        <f>Tabla25[[#This Row],[Pax]]+Tabla25[[#This Row],[Pax addicional cat.]]</f>
        <v>19</v>
      </c>
    </row>
    <row r="113" spans="17:49" ht="12.75" customHeight="1" x14ac:dyDescent="0.25">
      <c r="Q113" s="30"/>
      <c r="X113" s="31"/>
      <c r="Z113" s="30"/>
      <c r="AA113" s="5" t="s">
        <v>24</v>
      </c>
      <c r="AB113" s="5" t="s">
        <v>12</v>
      </c>
      <c r="AC113" s="5" t="str">
        <f t="shared" si="19"/>
        <v>MALLORCA-OVIEDO</v>
      </c>
      <c r="AD113" s="30">
        <v>75</v>
      </c>
      <c r="AE113" s="5">
        <v>1</v>
      </c>
      <c r="AL113" s="62" t="s">
        <v>110</v>
      </c>
      <c r="AM113" s="62" t="s">
        <v>111</v>
      </c>
      <c r="AN113" s="62" t="str">
        <f>Tabla25[[#This Row],[Esport i sexe]] &amp; " - " &amp; Tabla25[[#This Row],[Categoria]]</f>
        <v>FUTBOL JUVENIL MASCULÍ - Divisió d’honor juvenil</v>
      </c>
      <c r="AO113" s="62" t="s">
        <v>28</v>
      </c>
      <c r="AP113" s="64">
        <v>1</v>
      </c>
      <c r="AQ113" s="71">
        <f>1-(0.25* (Tabla25[[#This Row],[Nivell categoria]]-1))</f>
        <v>1</v>
      </c>
      <c r="AR113" s="64">
        <v>1</v>
      </c>
      <c r="AS113" s="64">
        <v>1</v>
      </c>
      <c r="AT113" s="64">
        <v>0</v>
      </c>
      <c r="AU113" s="64">
        <f>VLOOKUP(Tabla25[[#This Row],[Esport]],Tabla2[],2,FALSE)</f>
        <v>19</v>
      </c>
      <c r="AV113" s="99">
        <f>3-Tabla25[[#This Row],[Nivell categoria]]</f>
        <v>2</v>
      </c>
      <c r="AW113" s="64">
        <f>Tabla25[[#This Row],[Pax]]+Tabla25[[#This Row],[Pax addicional cat.]]</f>
        <v>21</v>
      </c>
    </row>
    <row r="114" spans="17:49" x14ac:dyDescent="0.25">
      <c r="Q114" s="30"/>
      <c r="X114" s="31"/>
      <c r="Z114" s="30"/>
      <c r="AA114" s="5" t="s">
        <v>24</v>
      </c>
      <c r="AB114" s="5" t="s">
        <v>14</v>
      </c>
      <c r="AC114" s="5" t="str">
        <f t="shared" ref="AC114:AC138" si="20">AA114 &amp; "-" &amp; AB114</f>
        <v>MALLORCA-SANTIAGO</v>
      </c>
      <c r="AD114" s="30">
        <v>75</v>
      </c>
      <c r="AE114" s="5">
        <v>1</v>
      </c>
      <c r="AL114" s="62" t="s">
        <v>112</v>
      </c>
      <c r="AM114" s="62" t="s">
        <v>198</v>
      </c>
      <c r="AN114" s="62" t="str">
        <f>Tabla25[[#This Row],[Esport i sexe]] &amp; " - " &amp; Tabla25[[#This Row],[Categoria]]</f>
        <v>FUTBOL MASCULÍ - Primera Federació Versus e-learing</v>
      </c>
      <c r="AO114" s="62" t="s">
        <v>28</v>
      </c>
      <c r="AP114" s="64">
        <v>1</v>
      </c>
      <c r="AQ114" s="71">
        <f>1-(0.25* (Tabla25[[#This Row],[Nivell categoria]]-1))</f>
        <v>1</v>
      </c>
      <c r="AR114" s="64">
        <v>1</v>
      </c>
      <c r="AS114" s="64">
        <v>1</v>
      </c>
      <c r="AT114" s="64">
        <v>1</v>
      </c>
      <c r="AU114" s="64">
        <f>VLOOKUP(Tabla25[[#This Row],[Esport]],Tabla2[],2,FALSE)</f>
        <v>19</v>
      </c>
      <c r="AV114" s="99">
        <f>3-Tabla25[[#This Row],[Nivell categoria]]</f>
        <v>2</v>
      </c>
      <c r="AW114" s="64">
        <f>Tabla25[[#This Row],[Pax]]+Tabla25[[#This Row],[Pax addicional cat.]]</f>
        <v>21</v>
      </c>
    </row>
    <row r="115" spans="17:49" x14ac:dyDescent="0.25">
      <c r="Q115" s="30"/>
      <c r="X115" s="31"/>
      <c r="Z115" s="30"/>
      <c r="AA115" s="5" t="s">
        <v>24</v>
      </c>
      <c r="AB115" s="5" t="s">
        <v>52</v>
      </c>
      <c r="AC115" s="5" t="str">
        <f t="shared" si="20"/>
        <v>MALLORCA-SARAGOSSA</v>
      </c>
      <c r="AD115" s="30">
        <v>55</v>
      </c>
      <c r="AE115" s="5">
        <v>1</v>
      </c>
      <c r="AL115" s="62" t="s">
        <v>112</v>
      </c>
      <c r="AM115" s="62" t="s">
        <v>196</v>
      </c>
      <c r="AN115" s="62" t="str">
        <f>Tabla25[[#This Row],[Esport i sexe]] &amp; " - " &amp; Tabla25[[#This Row],[Categoria]]</f>
        <v>FUTBOL MASCULÍ - Segona Federació</v>
      </c>
      <c r="AO115" s="62" t="s">
        <v>28</v>
      </c>
      <c r="AP115" s="64">
        <v>2</v>
      </c>
      <c r="AQ115" s="71">
        <f>1-(0.25* (Tabla25[[#This Row],[Nivell categoria]]-1))</f>
        <v>0.75</v>
      </c>
      <c r="AR115" s="64">
        <v>1</v>
      </c>
      <c r="AS115" s="64">
        <v>1</v>
      </c>
      <c r="AT115" s="64">
        <v>1</v>
      </c>
      <c r="AU115" s="64">
        <f>VLOOKUP(Tabla25[[#This Row],[Esport]],Tabla2[],2,FALSE)</f>
        <v>19</v>
      </c>
      <c r="AV115" s="99">
        <f>3-Tabla25[[#This Row],[Nivell categoria]]</f>
        <v>1</v>
      </c>
      <c r="AW115" s="64">
        <f>Tabla25[[#This Row],[Pax]]+Tabla25[[#This Row],[Pax addicional cat.]]</f>
        <v>20</v>
      </c>
    </row>
    <row r="116" spans="17:49" x14ac:dyDescent="0.25">
      <c r="Q116" s="30"/>
      <c r="X116" s="31"/>
      <c r="Z116" s="30"/>
      <c r="AA116" s="5" t="s">
        <v>24</v>
      </c>
      <c r="AB116" s="5" t="s">
        <v>16</v>
      </c>
      <c r="AC116" s="5" t="str">
        <f t="shared" si="20"/>
        <v>MALLORCA-SEVILLA</v>
      </c>
      <c r="AD116" s="30">
        <v>75</v>
      </c>
      <c r="AE116" s="5">
        <v>1</v>
      </c>
      <c r="AL116" s="62" t="s">
        <v>113</v>
      </c>
      <c r="AM116" s="62" t="s">
        <v>199</v>
      </c>
      <c r="AN116" s="62" t="str">
        <f>Tabla25[[#This Row],[Esport i sexe]] &amp; " - " &amp; Tabla25[[#This Row],[Categoria]]</f>
        <v>FUTBOL SALA FEMENÍ - 1ª Divisió Futbol Sala Iberdrola</v>
      </c>
      <c r="AO116" s="62" t="s">
        <v>27</v>
      </c>
      <c r="AP116" s="64">
        <v>1</v>
      </c>
      <c r="AQ116" s="71">
        <f>1-(0.25* (Tabla25[[#This Row],[Nivell categoria]]-1))</f>
        <v>1</v>
      </c>
      <c r="AR116" s="64">
        <v>1</v>
      </c>
      <c r="AS116" s="64">
        <v>1</v>
      </c>
      <c r="AT116" s="64">
        <v>1</v>
      </c>
      <c r="AU116" s="64">
        <f>VLOOKUP(Tabla25[[#This Row],[Esport]],Tabla2[],2,FALSE)</f>
        <v>14</v>
      </c>
      <c r="AV116" s="99">
        <f>3-Tabla25[[#This Row],[Nivell categoria]]</f>
        <v>2</v>
      </c>
      <c r="AW116" s="64">
        <f>Tabla25[[#This Row],[Pax]]+Tabla25[[#This Row],[Pax addicional cat.]]</f>
        <v>16</v>
      </c>
    </row>
    <row r="117" spans="17:49" x14ac:dyDescent="0.25">
      <c r="Q117" s="30"/>
      <c r="X117" s="31"/>
      <c r="Z117" s="30"/>
      <c r="AA117" s="5" t="s">
        <v>24</v>
      </c>
      <c r="AB117" s="5" t="s">
        <v>1</v>
      </c>
      <c r="AC117" s="5" t="str">
        <f t="shared" si="20"/>
        <v>MALLORCA-TENERIFE</v>
      </c>
      <c r="AD117" s="30">
        <v>120</v>
      </c>
      <c r="AE117" s="5">
        <v>2</v>
      </c>
      <c r="AL117" s="62" t="s">
        <v>113</v>
      </c>
      <c r="AM117" s="62" t="s">
        <v>200</v>
      </c>
      <c r="AN117" s="62" t="str">
        <f>Tabla25[[#This Row],[Esport i sexe]] &amp; " - " &amp; Tabla25[[#This Row],[Categoria]]</f>
        <v xml:space="preserve">FUTBOL SALA FEMENÍ - 2ª Divisió Futbol Sala </v>
      </c>
      <c r="AO117" s="62" t="s">
        <v>27</v>
      </c>
      <c r="AP117" s="64">
        <v>2</v>
      </c>
      <c r="AQ117" s="71">
        <f>1-(0.25* (Tabla25[[#This Row],[Nivell categoria]]-1))</f>
        <v>0.75</v>
      </c>
      <c r="AR117" s="64">
        <v>1</v>
      </c>
      <c r="AS117" s="64">
        <v>1</v>
      </c>
      <c r="AT117" s="64">
        <v>1</v>
      </c>
      <c r="AU117" s="64">
        <f>VLOOKUP(Tabla25[[#This Row],[Esport]],Tabla2[],2,FALSE)</f>
        <v>14</v>
      </c>
      <c r="AV117" s="99">
        <f>3-Tabla25[[#This Row],[Nivell categoria]]</f>
        <v>1</v>
      </c>
      <c r="AW117" s="64">
        <f>Tabla25[[#This Row],[Pax]]+Tabla25[[#This Row],[Pax addicional cat.]]</f>
        <v>15</v>
      </c>
    </row>
    <row r="118" spans="17:49" x14ac:dyDescent="0.25">
      <c r="Q118" s="30"/>
      <c r="X118" s="31"/>
      <c r="Z118" s="30"/>
      <c r="AA118" s="5" t="s">
        <v>24</v>
      </c>
      <c r="AB118" s="5" t="s">
        <v>92</v>
      </c>
      <c r="AC118" s="5" t="str">
        <f t="shared" si="20"/>
        <v>MALLORCA-VALÈNCIA (avió)</v>
      </c>
      <c r="AD118" s="30">
        <v>55</v>
      </c>
      <c r="AE118" s="5">
        <v>1</v>
      </c>
      <c r="AL118" s="62" t="s">
        <v>114</v>
      </c>
      <c r="AM118" s="62" t="s">
        <v>111</v>
      </c>
      <c r="AN118" s="62" t="str">
        <f>Tabla25[[#This Row],[Esport i sexe]] &amp; " - " &amp; Tabla25[[#This Row],[Categoria]]</f>
        <v>FUTBOL SALA JUVENIL MASCULÍ - Divisió d’honor juvenil</v>
      </c>
      <c r="AO118" s="62" t="s">
        <v>27</v>
      </c>
      <c r="AP118" s="64">
        <v>1</v>
      </c>
      <c r="AQ118" s="71">
        <f>1-(0.25* (Tabla25[[#This Row],[Nivell categoria]]-1))</f>
        <v>1</v>
      </c>
      <c r="AR118" s="64">
        <v>1</v>
      </c>
      <c r="AS118" s="64">
        <v>1</v>
      </c>
      <c r="AT118" s="64">
        <v>0</v>
      </c>
      <c r="AU118" s="64">
        <f>VLOOKUP(Tabla25[[#This Row],[Esport]],Tabla2[],2,FALSE)</f>
        <v>14</v>
      </c>
      <c r="AV118" s="99">
        <f>3-Tabla25[[#This Row],[Nivell categoria]]</f>
        <v>2</v>
      </c>
      <c r="AW118" s="64">
        <f>Tabla25[[#This Row],[Pax]]+Tabla25[[#This Row],[Pax addicional cat.]]</f>
        <v>16</v>
      </c>
    </row>
    <row r="119" spans="17:49" ht="12.75" customHeight="1" x14ac:dyDescent="0.25">
      <c r="Q119" s="30"/>
      <c r="X119" s="31"/>
      <c r="Z119" s="30"/>
      <c r="AA119" s="5" t="s">
        <v>24</v>
      </c>
      <c r="AB119" s="5" t="s">
        <v>89</v>
      </c>
      <c r="AC119" s="5" t="str">
        <f t="shared" si="20"/>
        <v>MALLORCA-VALÈNCIA (vaixell)</v>
      </c>
      <c r="AD119" s="30">
        <v>23</v>
      </c>
      <c r="AE119" s="5">
        <v>1</v>
      </c>
      <c r="AL119" s="62" t="s">
        <v>115</v>
      </c>
      <c r="AM119" s="62" t="s">
        <v>201</v>
      </c>
      <c r="AN119" s="62" t="str">
        <f>Tabla25[[#This Row],[Esport i sexe]] &amp; " - " &amp; Tabla25[[#This Row],[Categoria]]</f>
        <v>FUTBOL SALA MASCULÍ - 1ª Divisió Futbol Sala</v>
      </c>
      <c r="AO119" s="62" t="s">
        <v>27</v>
      </c>
      <c r="AP119" s="64">
        <v>1</v>
      </c>
      <c r="AQ119" s="71">
        <f>1-(0.25* (Tabla25[[#This Row],[Nivell categoria]]-1))</f>
        <v>1</v>
      </c>
      <c r="AR119" s="64">
        <v>1</v>
      </c>
      <c r="AS119" s="64">
        <v>1</v>
      </c>
      <c r="AT119" s="64">
        <v>1</v>
      </c>
      <c r="AU119" s="64">
        <f>VLOOKUP(Tabla25[[#This Row],[Esport]],Tabla2[],2,FALSE)</f>
        <v>14</v>
      </c>
      <c r="AV119" s="99">
        <f>3-Tabla25[[#This Row],[Nivell categoria]]</f>
        <v>2</v>
      </c>
      <c r="AW119" s="64">
        <f>Tabla25[[#This Row],[Pax]]+Tabla25[[#This Row],[Pax addicional cat.]]</f>
        <v>16</v>
      </c>
    </row>
    <row r="120" spans="17:49" x14ac:dyDescent="0.25">
      <c r="Q120" s="30"/>
      <c r="X120" s="31"/>
      <c r="Z120" s="30"/>
      <c r="AA120" s="5" t="s">
        <v>19</v>
      </c>
      <c r="AB120" s="5" t="s">
        <v>90</v>
      </c>
      <c r="AC120" s="5" t="str">
        <f t="shared" si="20"/>
        <v>MENORCA-ALACANT (avió)</v>
      </c>
      <c r="AD120" s="30">
        <v>75</v>
      </c>
      <c r="AE120" s="5">
        <v>1</v>
      </c>
      <c r="AL120" s="62" t="s">
        <v>115</v>
      </c>
      <c r="AM120" s="62" t="s">
        <v>202</v>
      </c>
      <c r="AN120" s="62" t="str">
        <f>Tabla25[[#This Row],[Esport i sexe]] &amp; " - " &amp; Tabla25[[#This Row],[Categoria]]</f>
        <v>FUTBOL SALA MASCULÍ - 2ª Divisió Futbol Sala</v>
      </c>
      <c r="AO120" s="62" t="s">
        <v>27</v>
      </c>
      <c r="AP120" s="64">
        <v>2</v>
      </c>
      <c r="AQ120" s="71">
        <f>1-(0.25* (Tabla25[[#This Row],[Nivell categoria]]-1))</f>
        <v>0.75</v>
      </c>
      <c r="AR120" s="64">
        <v>1</v>
      </c>
      <c r="AS120" s="64">
        <v>1</v>
      </c>
      <c r="AT120" s="64">
        <v>1</v>
      </c>
      <c r="AU120" s="64">
        <f>VLOOKUP(Tabla25[[#This Row],[Esport]],Tabla2[],2,FALSE)</f>
        <v>14</v>
      </c>
      <c r="AV120" s="99">
        <f>3-Tabla25[[#This Row],[Nivell categoria]]</f>
        <v>1</v>
      </c>
      <c r="AW120" s="64">
        <f>Tabla25[[#This Row],[Pax]]+Tabla25[[#This Row],[Pax addicional cat.]]</f>
        <v>15</v>
      </c>
    </row>
    <row r="121" spans="17:49" ht="12.75" customHeight="1" x14ac:dyDescent="0.25">
      <c r="Q121" s="30"/>
      <c r="X121" s="31"/>
      <c r="Z121" s="30"/>
      <c r="AA121" s="5" t="s">
        <v>19</v>
      </c>
      <c r="AB121" s="5" t="s">
        <v>86</v>
      </c>
      <c r="AC121" s="5" t="str">
        <f t="shared" si="20"/>
        <v>MENORCA-ALACANT (vaixell)</v>
      </c>
      <c r="AD121" s="30">
        <v>23</v>
      </c>
      <c r="AE121" s="5">
        <v>1</v>
      </c>
      <c r="AL121" s="62" t="s">
        <v>115</v>
      </c>
      <c r="AM121" s="62" t="s">
        <v>203</v>
      </c>
      <c r="AN121" s="62" t="str">
        <f>Tabla25[[#This Row],[Esport i sexe]] &amp; " - " &amp; Tabla25[[#This Row],[Categoria]]</f>
        <v>FUTBOL SALA MASCULÍ - 2ª B Divisió Futbol Sala</v>
      </c>
      <c r="AO121" s="62" t="s">
        <v>27</v>
      </c>
      <c r="AP121" s="64">
        <v>3</v>
      </c>
      <c r="AQ121" s="71">
        <f>1-(0.25* (Tabla25[[#This Row],[Nivell categoria]]-1))</f>
        <v>0.5</v>
      </c>
      <c r="AR121" s="64">
        <v>1</v>
      </c>
      <c r="AS121" s="64">
        <v>1</v>
      </c>
      <c r="AT121" s="64">
        <v>1</v>
      </c>
      <c r="AU121" s="64">
        <f>VLOOKUP(Tabla25[[#This Row],[Esport]],Tabla2[],2,FALSE)</f>
        <v>14</v>
      </c>
      <c r="AV121" s="99">
        <f>3-Tabla25[[#This Row],[Nivell categoria]]</f>
        <v>0</v>
      </c>
      <c r="AW121" s="64">
        <f>Tabla25[[#This Row],[Pax]]+Tabla25[[#This Row],[Pax addicional cat.]]</f>
        <v>14</v>
      </c>
    </row>
    <row r="122" spans="17:49" ht="12.75" customHeight="1" x14ac:dyDescent="0.25">
      <c r="Q122" s="30"/>
      <c r="X122" s="31"/>
      <c r="Z122" s="30"/>
      <c r="AA122" s="5" t="s">
        <v>19</v>
      </c>
      <c r="AB122" s="5" t="s">
        <v>91</v>
      </c>
      <c r="AC122" s="5" t="str">
        <f t="shared" si="20"/>
        <v>MENORCA-BARCELONA (avió)</v>
      </c>
      <c r="AD122" s="30">
        <v>75</v>
      </c>
      <c r="AE122" s="5">
        <v>1</v>
      </c>
      <c r="AL122" s="62" t="s">
        <v>35</v>
      </c>
      <c r="AM122" s="62" t="s">
        <v>116</v>
      </c>
      <c r="AN122" s="62" t="str">
        <f>Tabla25[[#This Row],[Esport i sexe]] &amp; " - " &amp; Tabla25[[#This Row],[Categoria]]</f>
        <v>GIMNÀSTICA ARTÍSTICA MASCULINA - Categoria absoluta</v>
      </c>
      <c r="AO122" s="62" t="s">
        <v>35</v>
      </c>
      <c r="AP122" s="64">
        <v>1</v>
      </c>
      <c r="AQ122" s="71">
        <f>1-(0.25* (Tabla25[[#This Row],[Nivell categoria]]-1))</f>
        <v>1</v>
      </c>
      <c r="AR122" s="64">
        <v>1</v>
      </c>
      <c r="AS122" s="64">
        <v>1</v>
      </c>
      <c r="AT122" s="64">
        <v>1</v>
      </c>
      <c r="AU122" s="64">
        <f>VLOOKUP(Tabla25[[#This Row],[Esport]],Tabla2[],2,FALSE)</f>
        <v>6</v>
      </c>
      <c r="AV122" s="99">
        <f>3-Tabla25[[#This Row],[Nivell categoria]]</f>
        <v>2</v>
      </c>
      <c r="AW122" s="64">
        <f>Tabla25[[#This Row],[Pax]]+Tabla25[[#This Row],[Pax addicional cat.]]</f>
        <v>8</v>
      </c>
    </row>
    <row r="123" spans="17:49" x14ac:dyDescent="0.25">
      <c r="Q123" s="30"/>
      <c r="X123" s="31"/>
      <c r="Z123" s="30"/>
      <c r="AA123" s="5" t="s">
        <v>19</v>
      </c>
      <c r="AB123" s="5" t="s">
        <v>87</v>
      </c>
      <c r="AC123" s="5" t="str">
        <f t="shared" si="20"/>
        <v>MENORCA-BARCELONA (vaixell)</v>
      </c>
      <c r="AD123" s="30">
        <v>23</v>
      </c>
      <c r="AE123" s="5">
        <v>1</v>
      </c>
      <c r="AL123" s="62" t="s">
        <v>117</v>
      </c>
      <c r="AM123" s="62" t="s">
        <v>210</v>
      </c>
      <c r="AN123" s="62" t="str">
        <f>Tabla25[[#This Row],[Esport i sexe]] &amp; " - " &amp; Tabla25[[#This Row],[Categoria]]</f>
        <v>GIMNÀSTICA FEMENINA (ARTÍSTICA O RÍTMICA) - Primera divisió (Lliga Iberdrola)</v>
      </c>
      <c r="AO123" s="62" t="s">
        <v>166</v>
      </c>
      <c r="AP123" s="64">
        <v>1</v>
      </c>
      <c r="AQ123" s="71">
        <f>1-(0.25* (Tabla25[[#This Row],[Nivell categoria]]-1))</f>
        <v>1</v>
      </c>
      <c r="AR123" s="64">
        <v>1</v>
      </c>
      <c r="AS123" s="64">
        <v>1</v>
      </c>
      <c r="AT123" s="64">
        <v>1</v>
      </c>
      <c r="AU123" s="64">
        <f>VLOOKUP(Tabla25[[#This Row],[Esport]],Tabla2[],2,FALSE)</f>
        <v>10</v>
      </c>
      <c r="AV123" s="99">
        <f>3-Tabla25[[#This Row],[Nivell categoria]]</f>
        <v>2</v>
      </c>
      <c r="AW123" s="64">
        <f>Tabla25[[#This Row],[Pax]]+Tabla25[[#This Row],[Pax addicional cat.]]</f>
        <v>12</v>
      </c>
    </row>
    <row r="124" spans="17:49" x14ac:dyDescent="0.25">
      <c r="Q124" s="30"/>
      <c r="X124" s="31"/>
      <c r="Z124" s="30"/>
      <c r="AA124" s="5" t="s">
        <v>19</v>
      </c>
      <c r="AB124" s="5" t="s">
        <v>0</v>
      </c>
      <c r="AC124" s="5" t="str">
        <f t="shared" si="20"/>
        <v>MENORCA-BILBAO</v>
      </c>
      <c r="AD124" s="30">
        <v>95</v>
      </c>
      <c r="AE124" s="5">
        <v>1</v>
      </c>
      <c r="AL124" s="62" t="s">
        <v>117</v>
      </c>
      <c r="AM124" s="62" t="s">
        <v>99</v>
      </c>
      <c r="AN124" s="62" t="str">
        <f>Tabla25[[#This Row],[Esport i sexe]] &amp; " - " &amp; Tabla25[[#This Row],[Categoria]]</f>
        <v>GIMNÀSTICA FEMENINA (ARTÍSTICA O RÍTMICA) - Segona divisió</v>
      </c>
      <c r="AO124" s="62" t="s">
        <v>166</v>
      </c>
      <c r="AP124" s="64">
        <v>2</v>
      </c>
      <c r="AQ124" s="71">
        <f>1-(0.25* (Tabla25[[#This Row],[Nivell categoria]]-1))</f>
        <v>0.75</v>
      </c>
      <c r="AR124" s="64">
        <v>1</v>
      </c>
      <c r="AS124" s="64">
        <v>1</v>
      </c>
      <c r="AT124" s="64">
        <v>1</v>
      </c>
      <c r="AU124" s="64">
        <f>VLOOKUP(Tabla25[[#This Row],[Esport]],Tabla2[],2,FALSE)</f>
        <v>10</v>
      </c>
      <c r="AV124" s="99">
        <f>3-Tabla25[[#This Row],[Nivell categoria]]</f>
        <v>1</v>
      </c>
      <c r="AW124" s="64">
        <f>Tabla25[[#This Row],[Pax]]+Tabla25[[#This Row],[Pax addicional cat.]]</f>
        <v>11</v>
      </c>
    </row>
    <row r="125" spans="17:49" x14ac:dyDescent="0.25">
      <c r="Q125" s="30"/>
      <c r="X125" s="31"/>
      <c r="Z125" s="30"/>
      <c r="AA125" s="5" t="s">
        <v>19</v>
      </c>
      <c r="AB125" s="5" t="s">
        <v>88</v>
      </c>
      <c r="AC125" s="5" t="str">
        <f t="shared" si="20"/>
        <v>MENORCA-DÉNIA (vaixell)</v>
      </c>
      <c r="AD125" s="30">
        <v>23</v>
      </c>
      <c r="AE125" s="5">
        <v>1</v>
      </c>
      <c r="AL125" s="62" t="s">
        <v>117</v>
      </c>
      <c r="AM125" s="62" t="s">
        <v>206</v>
      </c>
      <c r="AN125" s="62" t="str">
        <f>Tabla25[[#This Row],[Esport i sexe]] &amp; " - " &amp; Tabla25[[#This Row],[Categoria]]</f>
        <v>GIMNÀSTICA FEMENINA (ARTÍSTICA O RÍTMICA) - Tercera divisió</v>
      </c>
      <c r="AO125" s="62" t="s">
        <v>166</v>
      </c>
      <c r="AP125" s="64">
        <v>3</v>
      </c>
      <c r="AQ125" s="71">
        <f>1-(0.25* (Tabla25[[#This Row],[Nivell categoria]]-1))</f>
        <v>0.5</v>
      </c>
      <c r="AR125" s="64">
        <v>1</v>
      </c>
      <c r="AS125" s="64">
        <v>1</v>
      </c>
      <c r="AT125" s="64">
        <v>1</v>
      </c>
      <c r="AU125" s="64">
        <f>VLOOKUP(Tabla25[[#This Row],[Esport]],Tabla2[],2,FALSE)</f>
        <v>10</v>
      </c>
      <c r="AV125" s="99">
        <f>3-Tabla25[[#This Row],[Nivell categoria]]</f>
        <v>0</v>
      </c>
      <c r="AW125" s="64">
        <f>Tabla25[[#This Row],[Pax]]+Tabla25[[#This Row],[Pax addicional cat.]]</f>
        <v>10</v>
      </c>
    </row>
    <row r="126" spans="17:49" x14ac:dyDescent="0.25">
      <c r="Q126" s="30"/>
      <c r="X126" s="31"/>
      <c r="Z126" s="30"/>
      <c r="AA126" s="5" t="s">
        <v>19</v>
      </c>
      <c r="AB126" s="5" t="s">
        <v>83</v>
      </c>
      <c r="AC126" s="5" t="str">
        <f t="shared" si="20"/>
        <v>MENORCA-GRAN CANARIA </v>
      </c>
      <c r="AD126" s="30">
        <v>120</v>
      </c>
      <c r="AE126" s="5">
        <v>2</v>
      </c>
      <c r="AL126" s="62" t="s">
        <v>169</v>
      </c>
      <c r="AM126" s="62" t="s">
        <v>210</v>
      </c>
      <c r="AN126" s="62" t="str">
        <f>Tabla25[[#This Row],[Esport i sexe]] &amp; " - " &amp; Tabla25[[#This Row],[Categoria]]</f>
        <v>GIMNÀSTICA RÍTMICA FEMENINA - Primera divisió (Lliga Iberdrola)</v>
      </c>
      <c r="AO126" s="62" t="s">
        <v>167</v>
      </c>
      <c r="AP126" s="64">
        <v>1</v>
      </c>
      <c r="AQ126" s="71">
        <f>1-(0.25* (Tabla25[[#This Row],[Nivell categoria]]-1))</f>
        <v>1</v>
      </c>
      <c r="AR126" s="64">
        <v>1</v>
      </c>
      <c r="AS126" s="64">
        <v>1</v>
      </c>
      <c r="AT126" s="64">
        <v>1</v>
      </c>
      <c r="AU126" s="64">
        <f>VLOOKUP(Tabla25[[#This Row],[Esport]],Tabla2[],2,FALSE)</f>
        <v>8</v>
      </c>
      <c r="AV126" s="99">
        <f>3-Tabla25[[#This Row],[Nivell categoria]]</f>
        <v>2</v>
      </c>
      <c r="AW126" s="64">
        <f>Tabla25[[#This Row],[Pax]]+Tabla25[[#This Row],[Pax addicional cat.]]</f>
        <v>10</v>
      </c>
    </row>
    <row r="127" spans="17:49" x14ac:dyDescent="0.25">
      <c r="Q127" s="30"/>
      <c r="X127" s="31"/>
      <c r="Z127" s="30"/>
      <c r="AA127" s="5" t="s">
        <v>19</v>
      </c>
      <c r="AB127" s="5" t="s">
        <v>17</v>
      </c>
      <c r="AC127" s="5" t="str">
        <f t="shared" si="20"/>
        <v>MENORCA-GRANADA</v>
      </c>
      <c r="AD127" s="30">
        <v>95</v>
      </c>
      <c r="AE127" s="5">
        <v>1</v>
      </c>
      <c r="AL127" s="62" t="s">
        <v>169</v>
      </c>
      <c r="AM127" s="62" t="s">
        <v>211</v>
      </c>
      <c r="AN127" s="62" t="str">
        <f>Tabla25[[#This Row],[Esport i sexe]] &amp; " - " &amp; Tabla25[[#This Row],[Categoria]]</f>
        <v>GIMNÀSTICA RÍTMICA FEMENINA - 1ª Categoria Nacional</v>
      </c>
      <c r="AO127" s="62" t="s">
        <v>167</v>
      </c>
      <c r="AP127" s="64">
        <v>1</v>
      </c>
      <c r="AQ127" s="71">
        <f>1-(0.25* (Tabla25[[#This Row],[Nivell categoria]]-1))</f>
        <v>1</v>
      </c>
      <c r="AR127" s="64">
        <v>1</v>
      </c>
      <c r="AS127" s="64">
        <v>1</v>
      </c>
      <c r="AT127" s="64">
        <v>1</v>
      </c>
      <c r="AU127" s="64">
        <f>VLOOKUP(Tabla25[[#This Row],[Esport]],Tabla2[],2,FALSE)</f>
        <v>8</v>
      </c>
      <c r="AV127" s="99">
        <f>3-Tabla25[[#This Row],[Nivell categoria]]</f>
        <v>2</v>
      </c>
      <c r="AW127" s="64">
        <f>Tabla25[[#This Row],[Pax]]+Tabla25[[#This Row],[Pax addicional cat.]]</f>
        <v>10</v>
      </c>
    </row>
    <row r="128" spans="17:49" x14ac:dyDescent="0.25">
      <c r="Q128" s="30"/>
      <c r="X128" s="31"/>
      <c r="Z128" s="30"/>
      <c r="AA128" s="5" t="s">
        <v>19</v>
      </c>
      <c r="AB128" s="5" t="s">
        <v>15</v>
      </c>
      <c r="AC128" s="5" t="str">
        <f t="shared" si="20"/>
        <v>MENORCA-LA CORUNYA</v>
      </c>
      <c r="AD128" s="30">
        <v>95</v>
      </c>
      <c r="AE128" s="5">
        <v>1</v>
      </c>
      <c r="AL128" s="62" t="s">
        <v>169</v>
      </c>
      <c r="AM128" s="62" t="s">
        <v>99</v>
      </c>
      <c r="AN128" s="62" t="str">
        <f>Tabla25[[#This Row],[Esport i sexe]] &amp; " - " &amp; Tabla25[[#This Row],[Categoria]]</f>
        <v>GIMNÀSTICA RÍTMICA FEMENINA - Segona divisió</v>
      </c>
      <c r="AO128" s="62" t="s">
        <v>167</v>
      </c>
      <c r="AP128" s="64">
        <v>2</v>
      </c>
      <c r="AQ128" s="71">
        <f>1-(0.25* (Tabla25[[#This Row],[Nivell categoria]]-1))</f>
        <v>0.75</v>
      </c>
      <c r="AR128" s="64">
        <v>1</v>
      </c>
      <c r="AS128" s="64">
        <v>1</v>
      </c>
      <c r="AT128" s="64">
        <v>1</v>
      </c>
      <c r="AU128" s="64">
        <f>VLOOKUP(Tabla25[[#This Row],[Esport]],Tabla2[],2,FALSE)</f>
        <v>8</v>
      </c>
      <c r="AV128" s="99">
        <f>3-Tabla25[[#This Row],[Nivell categoria]]</f>
        <v>1</v>
      </c>
      <c r="AW128" s="64">
        <f>Tabla25[[#This Row],[Pax]]+Tabla25[[#This Row],[Pax addicional cat.]]</f>
        <v>9</v>
      </c>
    </row>
    <row r="129" spans="17:49" x14ac:dyDescent="0.25">
      <c r="Q129" s="30"/>
      <c r="X129" s="31"/>
      <c r="Z129" s="30"/>
      <c r="AA129" s="5" t="s">
        <v>19</v>
      </c>
      <c r="AB129" s="5" t="s">
        <v>13</v>
      </c>
      <c r="AC129" s="5" t="str">
        <f t="shared" si="20"/>
        <v>MENORCA-MADRID</v>
      </c>
      <c r="AD129" s="30">
        <v>75</v>
      </c>
      <c r="AE129" s="5">
        <v>1</v>
      </c>
      <c r="AL129" s="62" t="s">
        <v>169</v>
      </c>
      <c r="AM129" s="62" t="s">
        <v>206</v>
      </c>
      <c r="AN129" s="62" t="str">
        <f>Tabla25[[#This Row],[Esport i sexe]] &amp; " - " &amp; Tabla25[[#This Row],[Categoria]]</f>
        <v>GIMNÀSTICA RÍTMICA FEMENINA - Tercera divisió</v>
      </c>
      <c r="AO129" s="62" t="s">
        <v>167</v>
      </c>
      <c r="AP129" s="64">
        <v>3</v>
      </c>
      <c r="AQ129" s="71">
        <f>1-(0.25* (Tabla25[[#This Row],[Nivell categoria]]-1))</f>
        <v>0.5</v>
      </c>
      <c r="AR129" s="64">
        <v>1</v>
      </c>
      <c r="AS129" s="64">
        <v>1</v>
      </c>
      <c r="AT129" s="64">
        <v>1</v>
      </c>
      <c r="AU129" s="64">
        <f>VLOOKUP(Tabla25[[#This Row],[Esport]],Tabla2[],2,FALSE)</f>
        <v>8</v>
      </c>
      <c r="AV129" s="99">
        <f>3-Tabla25[[#This Row],[Nivell categoria]]</f>
        <v>0</v>
      </c>
      <c r="AW129" s="64">
        <f>Tabla25[[#This Row],[Pax]]+Tabla25[[#This Row],[Pax addicional cat.]]</f>
        <v>8</v>
      </c>
    </row>
    <row r="130" spans="17:49" x14ac:dyDescent="0.25">
      <c r="Q130" s="30"/>
      <c r="X130" s="31"/>
      <c r="Z130" s="30"/>
      <c r="AA130" s="5" t="s">
        <v>19</v>
      </c>
      <c r="AB130" s="5" t="s">
        <v>84</v>
      </c>
      <c r="AC130" s="5" t="str">
        <f t="shared" si="20"/>
        <v>MENORCA-MALAGA</v>
      </c>
      <c r="AD130" s="30">
        <v>95</v>
      </c>
      <c r="AE130" s="5">
        <v>1</v>
      </c>
      <c r="AL130" s="62" t="s">
        <v>118</v>
      </c>
      <c r="AM130" s="62" t="s">
        <v>119</v>
      </c>
      <c r="AN130" s="62" t="str">
        <f>Tabla25[[#This Row],[Esport i sexe]] &amp; " - " &amp; Tabla25[[#This Row],[Categoria]]</f>
        <v>HANDBOL FEMENÍ - Divisió d’honor (Lliga Guerreras Iberdrola)</v>
      </c>
      <c r="AO130" s="62" t="s">
        <v>25</v>
      </c>
      <c r="AP130" s="64">
        <v>1</v>
      </c>
      <c r="AQ130" s="71">
        <f>1-(0.25* (Tabla25[[#This Row],[Nivell categoria]]-1))</f>
        <v>1</v>
      </c>
      <c r="AR130" s="64">
        <v>1</v>
      </c>
      <c r="AS130" s="64">
        <v>1</v>
      </c>
      <c r="AT130" s="64">
        <v>1</v>
      </c>
      <c r="AU130" s="64">
        <f>VLOOKUP(Tabla25[[#This Row],[Esport]],Tabla2[],2,FALSE)</f>
        <v>15</v>
      </c>
      <c r="AV130" s="99">
        <f>3-Tabla25[[#This Row],[Nivell categoria]]</f>
        <v>2</v>
      </c>
      <c r="AW130" s="64">
        <f>Tabla25[[#This Row],[Pax]]+Tabla25[[#This Row],[Pax addicional cat.]]</f>
        <v>17</v>
      </c>
    </row>
    <row r="131" spans="17:49" x14ac:dyDescent="0.25">
      <c r="Q131" s="30"/>
      <c r="X131" s="31"/>
      <c r="Z131" s="30"/>
      <c r="AA131" s="5" t="s">
        <v>19</v>
      </c>
      <c r="AB131" s="5" t="s">
        <v>18</v>
      </c>
      <c r="AC131" s="5" t="str">
        <f t="shared" si="20"/>
        <v>MENORCA-MELILLA</v>
      </c>
      <c r="AD131" s="30">
        <v>120</v>
      </c>
      <c r="AE131" s="5">
        <v>2</v>
      </c>
      <c r="AL131" s="62" t="s">
        <v>118</v>
      </c>
      <c r="AM131" s="62" t="s">
        <v>120</v>
      </c>
      <c r="AN131" s="62" t="str">
        <f>Tabla25[[#This Row],[Esport i sexe]] &amp; " - " &amp; Tabla25[[#This Row],[Categoria]]</f>
        <v>HANDBOL FEMENÍ - Divisió d’honor plata</v>
      </c>
      <c r="AO131" s="62" t="s">
        <v>25</v>
      </c>
      <c r="AP131" s="64">
        <v>2</v>
      </c>
      <c r="AQ131" s="71">
        <f>1-(0.25* (Tabla25[[#This Row],[Nivell categoria]]-1))</f>
        <v>0.75</v>
      </c>
      <c r="AR131" s="64">
        <v>1</v>
      </c>
      <c r="AS131" s="64">
        <v>1</v>
      </c>
      <c r="AT131" s="64">
        <v>1</v>
      </c>
      <c r="AU131" s="64">
        <f>VLOOKUP(Tabla25[[#This Row],[Esport]],Tabla2[],2,FALSE)</f>
        <v>15</v>
      </c>
      <c r="AV131" s="99">
        <f>3-Tabla25[[#This Row],[Nivell categoria]]</f>
        <v>1</v>
      </c>
      <c r="AW131" s="64">
        <f>Tabla25[[#This Row],[Pax]]+Tabla25[[#This Row],[Pax addicional cat.]]</f>
        <v>16</v>
      </c>
    </row>
    <row r="132" spans="17:49" x14ac:dyDescent="0.25">
      <c r="Q132" s="30"/>
      <c r="X132" s="31"/>
      <c r="Z132" s="30"/>
      <c r="AA132" s="5" t="s">
        <v>19</v>
      </c>
      <c r="AB132" s="5" t="s">
        <v>12</v>
      </c>
      <c r="AC132" s="5" t="str">
        <f t="shared" si="20"/>
        <v>MENORCA-OVIEDO</v>
      </c>
      <c r="AD132" s="30">
        <v>120</v>
      </c>
      <c r="AE132" s="5">
        <v>2</v>
      </c>
      <c r="AL132" s="62" t="s">
        <v>121</v>
      </c>
      <c r="AM132" s="62" t="s">
        <v>120</v>
      </c>
      <c r="AN132" s="62" t="str">
        <f>Tabla25[[#This Row],[Esport i sexe]] &amp; " - " &amp; Tabla25[[#This Row],[Categoria]]</f>
        <v>HANDBOL MASCULÍ - Divisió d’honor plata</v>
      </c>
      <c r="AO132" s="62" t="s">
        <v>25</v>
      </c>
      <c r="AP132" s="64">
        <v>1</v>
      </c>
      <c r="AQ132" s="71">
        <f>1-(0.25* (Tabla25[[#This Row],[Nivell categoria]]-1))</f>
        <v>1</v>
      </c>
      <c r="AR132" s="64">
        <v>1</v>
      </c>
      <c r="AS132" s="64">
        <v>1</v>
      </c>
      <c r="AT132" s="64">
        <v>1</v>
      </c>
      <c r="AU132" s="64">
        <f>VLOOKUP(Tabla25[[#This Row],[Esport]],Tabla2[],2,FALSE)</f>
        <v>15</v>
      </c>
      <c r="AV132" s="99">
        <f>3-Tabla25[[#This Row],[Nivell categoria]]</f>
        <v>2</v>
      </c>
      <c r="AW132" s="64">
        <f>Tabla25[[#This Row],[Pax]]+Tabla25[[#This Row],[Pax addicional cat.]]</f>
        <v>17</v>
      </c>
    </row>
    <row r="133" spans="17:49" x14ac:dyDescent="0.25">
      <c r="Q133" s="30"/>
      <c r="X133" s="31"/>
      <c r="Z133" s="30"/>
      <c r="AA133" s="5" t="s">
        <v>19</v>
      </c>
      <c r="AB133" s="5" t="s">
        <v>14</v>
      </c>
      <c r="AC133" s="5" t="str">
        <f t="shared" si="20"/>
        <v>MENORCA-SANTIAGO</v>
      </c>
      <c r="AD133" s="30">
        <v>95</v>
      </c>
      <c r="AE133" s="5">
        <v>1</v>
      </c>
      <c r="AL133" s="62" t="s">
        <v>121</v>
      </c>
      <c r="AM133" s="62" t="s">
        <v>101</v>
      </c>
      <c r="AN133" s="62" t="str">
        <f>Tabla25[[#This Row],[Esport i sexe]] &amp; " - " &amp; Tabla25[[#This Row],[Categoria]]</f>
        <v>HANDBOL MASCULÍ - Primera nacional</v>
      </c>
      <c r="AO133" s="62" t="s">
        <v>25</v>
      </c>
      <c r="AP133" s="64">
        <v>2</v>
      </c>
      <c r="AQ133" s="71">
        <f>1-(0.25* (Tabla25[[#This Row],[Nivell categoria]]-1))</f>
        <v>0.75</v>
      </c>
      <c r="AR133" s="64">
        <v>1</v>
      </c>
      <c r="AS133" s="64">
        <v>1</v>
      </c>
      <c r="AT133" s="64">
        <v>1</v>
      </c>
      <c r="AU133" s="64">
        <f>VLOOKUP(Tabla25[[#This Row],[Esport]],Tabla2[],2,FALSE)</f>
        <v>15</v>
      </c>
      <c r="AV133" s="99">
        <f>3-Tabla25[[#This Row],[Nivell categoria]]</f>
        <v>1</v>
      </c>
      <c r="AW133" s="64">
        <f>Tabla25[[#This Row],[Pax]]+Tabla25[[#This Row],[Pax addicional cat.]]</f>
        <v>16</v>
      </c>
    </row>
    <row r="134" spans="17:49" ht="12.75" customHeight="1" x14ac:dyDescent="0.25">
      <c r="Q134" s="30"/>
      <c r="X134" s="31"/>
      <c r="Z134" s="30"/>
      <c r="AA134" s="5" t="s">
        <v>19</v>
      </c>
      <c r="AB134" s="5" t="s">
        <v>52</v>
      </c>
      <c r="AC134" s="5" t="str">
        <f t="shared" si="20"/>
        <v>MENORCA-SARAGOSSA</v>
      </c>
      <c r="AD134" s="30">
        <v>75</v>
      </c>
      <c r="AE134" s="5">
        <v>1</v>
      </c>
      <c r="AL134" s="62" t="s">
        <v>122</v>
      </c>
      <c r="AM134" s="62" t="s">
        <v>123</v>
      </c>
      <c r="AN134" s="62" t="str">
        <f>Tabla25[[#This Row],[Esport i sexe]] &amp; " - " &amp; Tabla25[[#This Row],[Categoria]]</f>
        <v>HOQUEI LÍNIA FEMENÍ - Elit femení</v>
      </c>
      <c r="AO134" s="62" t="s">
        <v>23</v>
      </c>
      <c r="AP134" s="64">
        <v>1</v>
      </c>
      <c r="AQ134" s="71">
        <f>1-(0.25* (Tabla25[[#This Row],[Nivell categoria]]-1))</f>
        <v>1</v>
      </c>
      <c r="AR134" s="64">
        <v>1</v>
      </c>
      <c r="AS134" s="64">
        <v>1</v>
      </c>
      <c r="AT134" s="64">
        <v>1</v>
      </c>
      <c r="AU134" s="64">
        <f>VLOOKUP(Tabla25[[#This Row],[Esport]],Tabla2[],2,FALSE)</f>
        <v>15</v>
      </c>
      <c r="AV134" s="99">
        <f>3-Tabla25[[#This Row],[Nivell categoria]]</f>
        <v>2</v>
      </c>
      <c r="AW134" s="64">
        <f>Tabla25[[#This Row],[Pax]]+Tabla25[[#This Row],[Pax addicional cat.]]</f>
        <v>17</v>
      </c>
    </row>
    <row r="135" spans="17:49" x14ac:dyDescent="0.25">
      <c r="Q135" s="30"/>
      <c r="X135" s="31"/>
      <c r="Z135" s="30"/>
      <c r="AA135" s="5" t="s">
        <v>19</v>
      </c>
      <c r="AB135" s="5" t="s">
        <v>16</v>
      </c>
      <c r="AC135" s="5" t="str">
        <f t="shared" si="20"/>
        <v>MENORCA-SEVILLA</v>
      </c>
      <c r="AD135" s="30">
        <v>95</v>
      </c>
      <c r="AE135" s="5">
        <v>1</v>
      </c>
      <c r="AL135" s="62" t="s">
        <v>122</v>
      </c>
      <c r="AM135" s="62" t="s">
        <v>124</v>
      </c>
      <c r="AN135" s="62" t="str">
        <f>Tabla25[[#This Row],[Esport i sexe]] &amp; " - " &amp; Tabla25[[#This Row],[Categoria]]</f>
        <v>HOQUEI LÍNIA FEMENÍ - Or femení</v>
      </c>
      <c r="AO135" s="62" t="s">
        <v>23</v>
      </c>
      <c r="AP135" s="64">
        <v>2</v>
      </c>
      <c r="AQ135" s="71">
        <f>1-(0.25* (Tabla25[[#This Row],[Nivell categoria]]-1))</f>
        <v>0.75</v>
      </c>
      <c r="AR135" s="64">
        <v>1</v>
      </c>
      <c r="AS135" s="64">
        <v>1</v>
      </c>
      <c r="AT135" s="64">
        <v>1</v>
      </c>
      <c r="AU135" s="64">
        <f>VLOOKUP(Tabla25[[#This Row],[Esport]],Tabla2[],2,FALSE)</f>
        <v>15</v>
      </c>
      <c r="AV135" s="99">
        <f>3-Tabla25[[#This Row],[Nivell categoria]]</f>
        <v>1</v>
      </c>
      <c r="AW135" s="64">
        <f>Tabla25[[#This Row],[Pax]]+Tabla25[[#This Row],[Pax addicional cat.]]</f>
        <v>16</v>
      </c>
    </row>
    <row r="136" spans="17:49" ht="12.75" customHeight="1" x14ac:dyDescent="0.25">
      <c r="Q136" s="30"/>
      <c r="X136" s="31"/>
      <c r="Z136" s="30"/>
      <c r="AA136" s="5" t="s">
        <v>19</v>
      </c>
      <c r="AB136" s="5" t="s">
        <v>1</v>
      </c>
      <c r="AC136" s="5" t="str">
        <f t="shared" si="20"/>
        <v>MENORCA-TENERIFE</v>
      </c>
      <c r="AD136" s="30">
        <v>120</v>
      </c>
      <c r="AE136" s="5">
        <v>2</v>
      </c>
      <c r="AL136" s="62" t="s">
        <v>122</v>
      </c>
      <c r="AM136" s="62" t="s">
        <v>204</v>
      </c>
      <c r="AN136" s="62" t="str">
        <f>Tabla25[[#This Row],[Esport i sexe]] &amp; " - " &amp; Tabla25[[#This Row],[Categoria]]</f>
        <v>HOQUEI LÍNIA FEMENÍ - Plata femení</v>
      </c>
      <c r="AO136" s="62" t="s">
        <v>23</v>
      </c>
      <c r="AP136" s="64">
        <v>3</v>
      </c>
      <c r="AQ136" s="71">
        <f>1-(0.25* (Tabla25[[#This Row],[Nivell categoria]]-1))</f>
        <v>0.5</v>
      </c>
      <c r="AR136" s="64">
        <v>1</v>
      </c>
      <c r="AS136" s="64">
        <v>1</v>
      </c>
      <c r="AT136" s="64">
        <v>1</v>
      </c>
      <c r="AU136" s="64">
        <f>VLOOKUP(Tabla25[[#This Row],[Esport]],Tabla2[],2,FALSE)</f>
        <v>15</v>
      </c>
      <c r="AV136" s="99">
        <f>3-Tabla25[[#This Row],[Nivell categoria]]</f>
        <v>0</v>
      </c>
      <c r="AW136" s="64">
        <f>Tabla25[[#This Row],[Pax]]+Tabla25[[#This Row],[Pax addicional cat.]]</f>
        <v>15</v>
      </c>
    </row>
    <row r="137" spans="17:49" x14ac:dyDescent="0.25">
      <c r="Q137" s="30"/>
      <c r="X137" s="31"/>
      <c r="Z137" s="30"/>
      <c r="AA137" s="5" t="s">
        <v>19</v>
      </c>
      <c r="AB137" s="5" t="s">
        <v>92</v>
      </c>
      <c r="AC137" s="5" t="str">
        <f t="shared" si="20"/>
        <v>MENORCA-VALÈNCIA (avió)</v>
      </c>
      <c r="AD137" s="30">
        <v>75</v>
      </c>
      <c r="AE137" s="5">
        <v>1</v>
      </c>
      <c r="AL137" s="62" t="s">
        <v>125</v>
      </c>
      <c r="AM137" s="62" t="s">
        <v>126</v>
      </c>
      <c r="AN137" s="62" t="str">
        <f>Tabla25[[#This Row],[Esport i sexe]] &amp; " - " &amp; Tabla25[[#This Row],[Categoria]]</f>
        <v>HOQUEI LÍNIA MASCULÍ - Elit masculí</v>
      </c>
      <c r="AO137" s="62" t="s">
        <v>23</v>
      </c>
      <c r="AP137" s="64">
        <v>1</v>
      </c>
      <c r="AQ137" s="71">
        <f>1-(0.25* (Tabla25[[#This Row],[Nivell categoria]]-1))</f>
        <v>1</v>
      </c>
      <c r="AR137" s="64">
        <v>1</v>
      </c>
      <c r="AS137" s="64">
        <v>1</v>
      </c>
      <c r="AT137" s="64">
        <v>1</v>
      </c>
      <c r="AU137" s="64">
        <f>VLOOKUP(Tabla25[[#This Row],[Esport]],Tabla2[],2,FALSE)</f>
        <v>15</v>
      </c>
      <c r="AV137" s="99">
        <f>3-Tabla25[[#This Row],[Nivell categoria]]</f>
        <v>2</v>
      </c>
      <c r="AW137" s="64">
        <f>Tabla25[[#This Row],[Pax]]+Tabla25[[#This Row],[Pax addicional cat.]]</f>
        <v>17</v>
      </c>
    </row>
    <row r="138" spans="17:49" x14ac:dyDescent="0.25">
      <c r="Q138" s="30"/>
      <c r="X138" s="31"/>
      <c r="Z138" s="30"/>
      <c r="AA138" s="5" t="s">
        <v>19</v>
      </c>
      <c r="AB138" s="5" t="s">
        <v>89</v>
      </c>
      <c r="AC138" s="5" t="str">
        <f t="shared" si="20"/>
        <v>MENORCA-VALÈNCIA (vaixell)</v>
      </c>
      <c r="AD138" s="30">
        <v>23</v>
      </c>
      <c r="AE138" s="5">
        <v>1</v>
      </c>
      <c r="AL138" s="62" t="s">
        <v>125</v>
      </c>
      <c r="AM138" s="62" t="s">
        <v>127</v>
      </c>
      <c r="AN138" s="62" t="str">
        <f>Tabla25[[#This Row],[Esport i sexe]] &amp; " - " &amp; Tabla25[[#This Row],[Categoria]]</f>
        <v>HOQUEI LÍNIA MASCULÍ - Or masculí</v>
      </c>
      <c r="AO138" s="62" t="s">
        <v>23</v>
      </c>
      <c r="AP138" s="64">
        <v>2</v>
      </c>
      <c r="AQ138" s="71">
        <f>1-(0.25* (Tabla25[[#This Row],[Nivell categoria]]-1))</f>
        <v>0.75</v>
      </c>
      <c r="AR138" s="64">
        <v>1</v>
      </c>
      <c r="AS138" s="64">
        <v>1</v>
      </c>
      <c r="AT138" s="64">
        <v>1</v>
      </c>
      <c r="AU138" s="64">
        <f>VLOOKUP(Tabla25[[#This Row],[Esport]],Tabla2[],2,FALSE)</f>
        <v>15</v>
      </c>
      <c r="AV138" s="99">
        <f>3-Tabla25[[#This Row],[Nivell categoria]]</f>
        <v>1</v>
      </c>
      <c r="AW138" s="64">
        <f>Tabla25[[#This Row],[Pax]]+Tabla25[[#This Row],[Pax addicional cat.]]</f>
        <v>16</v>
      </c>
    </row>
    <row r="139" spans="17:49" ht="12.75" customHeight="1" x14ac:dyDescent="0.25">
      <c r="Q139" s="30"/>
      <c r="X139" s="31"/>
      <c r="Z139" s="30"/>
      <c r="AA139" s="79"/>
      <c r="AB139" s="79" t="s">
        <v>160</v>
      </c>
      <c r="AC139" s="79"/>
      <c r="AD139" s="80">
        <v>0</v>
      </c>
      <c r="AE139" s="79">
        <v>0</v>
      </c>
      <c r="AL139" s="62" t="s">
        <v>125</v>
      </c>
      <c r="AM139" s="62" t="s">
        <v>128</v>
      </c>
      <c r="AN139" s="62" t="str">
        <f>Tabla25[[#This Row],[Esport i sexe]] &amp; " - " &amp; Tabla25[[#This Row],[Categoria]]</f>
        <v>HOQUEI LÍNIA MASCULÍ - Plata masculí</v>
      </c>
      <c r="AO139" s="62" t="s">
        <v>23</v>
      </c>
      <c r="AP139" s="64">
        <v>3</v>
      </c>
      <c r="AQ139" s="71">
        <f>1-(0.25* (Tabla25[[#This Row],[Nivell categoria]]-1))</f>
        <v>0.5</v>
      </c>
      <c r="AR139" s="64">
        <v>1</v>
      </c>
      <c r="AS139" s="64">
        <v>1</v>
      </c>
      <c r="AT139" s="64">
        <v>1</v>
      </c>
      <c r="AU139" s="64">
        <f>VLOOKUP(Tabla25[[#This Row],[Esport]],Tabla2[],2,FALSE)</f>
        <v>15</v>
      </c>
      <c r="AV139" s="99">
        <f>3-Tabla25[[#This Row],[Nivell categoria]]</f>
        <v>0</v>
      </c>
      <c r="AW139" s="64">
        <f>Tabla25[[#This Row],[Pax]]+Tabla25[[#This Row],[Pax addicional cat.]]</f>
        <v>15</v>
      </c>
    </row>
    <row r="140" spans="17:49" x14ac:dyDescent="0.25">
      <c r="Q140" s="30"/>
      <c r="X140" s="31"/>
      <c r="Z140" s="30"/>
      <c r="AA140" s="79"/>
      <c r="AB140" s="79" t="s">
        <v>161</v>
      </c>
      <c r="AC140" s="79"/>
      <c r="AD140" s="80">
        <v>0</v>
      </c>
      <c r="AE140" s="79">
        <v>0</v>
      </c>
      <c r="AL140" s="62" t="s">
        <v>216</v>
      </c>
      <c r="AM140" s="62" t="s">
        <v>98</v>
      </c>
      <c r="AN140" s="62" t="str">
        <f>Tabla25[[#This Row],[Esport i sexe]] &amp; " - " &amp; Tabla25[[#This Row],[Categoria]]</f>
        <v>JUDO FEMENÍ - Primera divisió</v>
      </c>
      <c r="AO140" s="62" t="s">
        <v>191</v>
      </c>
      <c r="AP140" s="64">
        <v>1</v>
      </c>
      <c r="AQ140" s="71">
        <f>1-(0.25* (Tabla25[[#This Row],[Nivell categoria]]-1))</f>
        <v>1</v>
      </c>
      <c r="AR140" s="64">
        <v>1</v>
      </c>
      <c r="AS140" s="64">
        <v>1</v>
      </c>
      <c r="AT140" s="64">
        <v>1</v>
      </c>
      <c r="AU140" s="64">
        <f>VLOOKUP(Tabla25[[#This Row],[Esport]],Tabla2[],2,FALSE)</f>
        <v>11</v>
      </c>
      <c r="AV140" s="99">
        <f>3-Tabla25[[#This Row],[Nivell categoria]]</f>
        <v>2</v>
      </c>
      <c r="AW140" s="64">
        <f>Tabla25[[#This Row],[Pax]]+Tabla25[[#This Row],[Pax addicional cat.]]</f>
        <v>13</v>
      </c>
    </row>
    <row r="141" spans="17:49" ht="12.75" customHeight="1" x14ac:dyDescent="0.25">
      <c r="Q141" s="30"/>
      <c r="X141" s="31"/>
      <c r="Z141" s="30"/>
      <c r="AC141" s="5"/>
      <c r="AD141" s="30"/>
      <c r="AL141" s="62" t="s">
        <v>216</v>
      </c>
      <c r="AM141" s="62" t="s">
        <v>99</v>
      </c>
      <c r="AN141" s="62" t="str">
        <f>Tabla25[[#This Row],[Esport i sexe]] &amp; " - " &amp; Tabla25[[#This Row],[Categoria]]</f>
        <v>JUDO FEMENÍ - Segona divisió</v>
      </c>
      <c r="AO141" s="62" t="s">
        <v>191</v>
      </c>
      <c r="AP141" s="64">
        <v>2</v>
      </c>
      <c r="AQ141" s="71">
        <f>1-(0.25* (Tabla25[[#This Row],[Nivell categoria]]-1))</f>
        <v>0.75</v>
      </c>
      <c r="AR141" s="64">
        <v>1</v>
      </c>
      <c r="AS141" s="64">
        <v>1</v>
      </c>
      <c r="AT141" s="64">
        <v>1</v>
      </c>
      <c r="AU141" s="64">
        <f>VLOOKUP(Tabla25[[#This Row],[Esport]],Tabla2[],2,FALSE)</f>
        <v>11</v>
      </c>
      <c r="AV141" s="99">
        <f>3-Tabla25[[#This Row],[Nivell categoria]]</f>
        <v>1</v>
      </c>
      <c r="AW141" s="64">
        <f>Tabla25[[#This Row],[Pax]]+Tabla25[[#This Row],[Pax addicional cat.]]</f>
        <v>12</v>
      </c>
    </row>
    <row r="142" spans="17:49" ht="12.75" customHeight="1" x14ac:dyDescent="0.25">
      <c r="Q142" s="30"/>
      <c r="X142" s="31"/>
      <c r="Z142" s="30"/>
      <c r="AC142" s="5"/>
      <c r="AD142" s="30"/>
      <c r="AL142" s="62" t="s">
        <v>217</v>
      </c>
      <c r="AM142" s="62" t="s">
        <v>98</v>
      </c>
      <c r="AN142" s="62" t="str">
        <f>Tabla25[[#This Row],[Esport i sexe]] &amp; " - " &amp; Tabla25[[#This Row],[Categoria]]</f>
        <v>JUDO MASCULí - Primera divisió</v>
      </c>
      <c r="AO142" s="62" t="s">
        <v>191</v>
      </c>
      <c r="AP142" s="64">
        <v>1</v>
      </c>
      <c r="AQ142" s="71">
        <f>1-(0.25* (Tabla25[[#This Row],[Nivell categoria]]-1))</f>
        <v>1</v>
      </c>
      <c r="AR142" s="64">
        <v>1</v>
      </c>
      <c r="AS142" s="64">
        <v>1</v>
      </c>
      <c r="AT142" s="64">
        <v>1</v>
      </c>
      <c r="AU142" s="64">
        <f>VLOOKUP(Tabla25[[#This Row],[Esport]],Tabla2[],2,FALSE)</f>
        <v>11</v>
      </c>
      <c r="AV142" s="99">
        <f>3-Tabla25[[#This Row],[Nivell categoria]]</f>
        <v>2</v>
      </c>
      <c r="AW142" s="64">
        <f>Tabla25[[#This Row],[Pax]]+Tabla25[[#This Row],[Pax addicional cat.]]</f>
        <v>13</v>
      </c>
    </row>
    <row r="143" spans="17:49" ht="12.75" customHeight="1" x14ac:dyDescent="0.25">
      <c r="Q143" s="30"/>
      <c r="X143" s="31"/>
      <c r="Z143" s="30"/>
      <c r="AC143" s="5"/>
      <c r="AD143" s="30"/>
      <c r="AL143" s="62" t="s">
        <v>217</v>
      </c>
      <c r="AM143" s="62" t="s">
        <v>99</v>
      </c>
      <c r="AN143" s="62" t="str">
        <f>Tabla25[[#This Row],[Esport i sexe]] &amp; " - " &amp; Tabla25[[#This Row],[Categoria]]</f>
        <v>JUDO MASCULí - Segona divisió</v>
      </c>
      <c r="AO143" s="62" t="s">
        <v>191</v>
      </c>
      <c r="AP143" s="64">
        <v>2</v>
      </c>
      <c r="AQ143" s="71">
        <f>1-(0.25* (Tabla25[[#This Row],[Nivell categoria]]-1))</f>
        <v>0.75</v>
      </c>
      <c r="AR143" s="64">
        <v>1</v>
      </c>
      <c r="AS143" s="64">
        <v>1</v>
      </c>
      <c r="AT143" s="64">
        <v>1</v>
      </c>
      <c r="AU143" s="64">
        <f>VLOOKUP(Tabla25[[#This Row],[Esport]],Tabla2[],2,FALSE)</f>
        <v>11</v>
      </c>
      <c r="AV143" s="99">
        <f>3-Tabla25[[#This Row],[Nivell categoria]]</f>
        <v>1</v>
      </c>
      <c r="AW143" s="64">
        <f>Tabla25[[#This Row],[Pax]]+Tabla25[[#This Row],[Pax addicional cat.]]</f>
        <v>12</v>
      </c>
    </row>
    <row r="144" spans="17:49" x14ac:dyDescent="0.25">
      <c r="Q144" s="30"/>
      <c r="X144" s="31"/>
      <c r="Z144" s="30"/>
      <c r="AC144" s="5"/>
      <c r="AD144" s="30"/>
      <c r="AL144" s="62" t="s">
        <v>168</v>
      </c>
      <c r="AM144" s="62" t="s">
        <v>116</v>
      </c>
      <c r="AN144" s="62" t="str">
        <f>Tabla25[[#This Row],[Esport i sexe]] &amp; " - " &amp; Tabla25[[#This Row],[Categoria]]</f>
        <v>NATACIÓ ARTÍSTICA - Categoria absoluta</v>
      </c>
      <c r="AO144" s="62" t="s">
        <v>168</v>
      </c>
      <c r="AP144" s="64">
        <v>1</v>
      </c>
      <c r="AQ144" s="71">
        <f>1-(0.25* (Tabla25[[#This Row],[Nivell categoria]]-1))</f>
        <v>1</v>
      </c>
      <c r="AR144" s="64">
        <v>1</v>
      </c>
      <c r="AS144" s="64">
        <v>1</v>
      </c>
      <c r="AT144" s="64">
        <v>1</v>
      </c>
      <c r="AU144" s="64">
        <f>VLOOKUP(Tabla25[[#This Row],[Esport]],Tabla2[],2,FALSE)</f>
        <v>8</v>
      </c>
      <c r="AV144" s="99">
        <f>3-Tabla25[[#This Row],[Nivell categoria]]</f>
        <v>2</v>
      </c>
      <c r="AW144" s="64">
        <f>Tabla25[[#This Row],[Pax]]+Tabla25[[#This Row],[Pax addicional cat.]]</f>
        <v>10</v>
      </c>
    </row>
    <row r="145" spans="17:49" x14ac:dyDescent="0.25">
      <c r="Q145" s="30"/>
      <c r="X145" s="31"/>
      <c r="Z145" s="30"/>
      <c r="AC145" s="5"/>
      <c r="AD145" s="30"/>
      <c r="AL145" s="62" t="s">
        <v>129</v>
      </c>
      <c r="AM145" s="62" t="s">
        <v>97</v>
      </c>
      <c r="AN145" s="62" t="str">
        <f>Tabla25[[#This Row],[Esport i sexe]] &amp; " - " &amp; Tabla25[[#This Row],[Categoria]]</f>
        <v>NATACIÓ FEMENÍ - Divisió d’honor</v>
      </c>
      <c r="AO145" s="62" t="s">
        <v>34</v>
      </c>
      <c r="AP145" s="64">
        <v>1</v>
      </c>
      <c r="AQ145" s="71">
        <f>1-(0.25* (Tabla25[[#This Row],[Nivell categoria]]-1))</f>
        <v>1</v>
      </c>
      <c r="AR145" s="64">
        <v>1</v>
      </c>
      <c r="AS145" s="64">
        <v>1</v>
      </c>
      <c r="AT145" s="64">
        <v>1</v>
      </c>
      <c r="AU145" s="64">
        <f>VLOOKUP(Tabla25[[#This Row],[Esport]],Tabla2[],2,FALSE)</f>
        <v>13</v>
      </c>
      <c r="AV145" s="99">
        <f>3-Tabla25[[#This Row],[Nivell categoria]]</f>
        <v>2</v>
      </c>
      <c r="AW145" s="64">
        <f>Tabla25[[#This Row],[Pax]]+Tabla25[[#This Row],[Pax addicional cat.]]</f>
        <v>15</v>
      </c>
    </row>
    <row r="146" spans="17:49" x14ac:dyDescent="0.25">
      <c r="Q146" s="30"/>
      <c r="X146" s="31"/>
      <c r="Z146" s="30"/>
      <c r="AC146" s="5"/>
      <c r="AD146" s="30"/>
      <c r="AL146" s="62" t="s">
        <v>129</v>
      </c>
      <c r="AM146" s="62" t="s">
        <v>98</v>
      </c>
      <c r="AN146" s="62" t="str">
        <f>Tabla25[[#This Row],[Esport i sexe]] &amp; " - " &amp; Tabla25[[#This Row],[Categoria]]</f>
        <v>NATACIÓ FEMENÍ - Primera divisió</v>
      </c>
      <c r="AO146" s="62" t="s">
        <v>34</v>
      </c>
      <c r="AP146" s="64">
        <v>2</v>
      </c>
      <c r="AQ146" s="71">
        <f>1-(0.25* (Tabla25[[#This Row],[Nivell categoria]]-1))</f>
        <v>0.75</v>
      </c>
      <c r="AR146" s="64">
        <v>1</v>
      </c>
      <c r="AS146" s="64">
        <v>1</v>
      </c>
      <c r="AT146" s="64">
        <v>1</v>
      </c>
      <c r="AU146" s="64">
        <f>VLOOKUP(Tabla25[[#This Row],[Esport]],Tabla2[],2,FALSE)</f>
        <v>13</v>
      </c>
      <c r="AV146" s="99">
        <f>3-Tabla25[[#This Row],[Nivell categoria]]</f>
        <v>1</v>
      </c>
      <c r="AW146" s="64">
        <f>Tabla25[[#This Row],[Pax]]+Tabla25[[#This Row],[Pax addicional cat.]]</f>
        <v>14</v>
      </c>
    </row>
    <row r="147" spans="17:49" x14ac:dyDescent="0.25">
      <c r="Q147" s="30"/>
      <c r="X147" s="31"/>
      <c r="Z147" s="30"/>
      <c r="AC147" s="5"/>
      <c r="AD147" s="30"/>
      <c r="AL147" s="62" t="s">
        <v>129</v>
      </c>
      <c r="AM147" s="62" t="s">
        <v>99</v>
      </c>
      <c r="AN147" s="62" t="str">
        <f>Tabla25[[#This Row],[Esport i sexe]] &amp; " - " &amp; Tabla25[[#This Row],[Categoria]]</f>
        <v>NATACIÓ FEMENÍ - Segona divisió</v>
      </c>
      <c r="AO147" s="62" t="s">
        <v>34</v>
      </c>
      <c r="AP147" s="64">
        <v>3</v>
      </c>
      <c r="AQ147" s="71">
        <f>1-(0.25* (Tabla25[[#This Row],[Nivell categoria]]-1))</f>
        <v>0.5</v>
      </c>
      <c r="AR147" s="64">
        <v>1</v>
      </c>
      <c r="AS147" s="64">
        <v>1</v>
      </c>
      <c r="AT147" s="64">
        <v>1</v>
      </c>
      <c r="AU147" s="64">
        <f>VLOOKUP(Tabla25[[#This Row],[Esport]],Tabla2[],2,FALSE)</f>
        <v>13</v>
      </c>
      <c r="AV147" s="99">
        <f>3-Tabla25[[#This Row],[Nivell categoria]]</f>
        <v>0</v>
      </c>
      <c r="AW147" s="64">
        <f>Tabla25[[#This Row],[Pax]]+Tabla25[[#This Row],[Pax addicional cat.]]</f>
        <v>13</v>
      </c>
    </row>
    <row r="148" spans="17:49" x14ac:dyDescent="0.25">
      <c r="Q148" s="30"/>
      <c r="X148" s="31"/>
      <c r="Z148" s="30"/>
      <c r="AC148" s="5"/>
      <c r="AD148" s="30"/>
      <c r="AL148" s="62" t="s">
        <v>130</v>
      </c>
      <c r="AM148" s="62" t="s">
        <v>97</v>
      </c>
      <c r="AN148" s="62" t="str">
        <f>Tabla25[[#This Row],[Esport i sexe]] &amp; " - " &amp; Tabla25[[#This Row],[Categoria]]</f>
        <v>NATACIÓ MASCULÍ - Divisió d’honor</v>
      </c>
      <c r="AO148" s="62" t="s">
        <v>34</v>
      </c>
      <c r="AP148" s="64">
        <v>1</v>
      </c>
      <c r="AQ148" s="71">
        <f>1-(0.25* (Tabla25[[#This Row],[Nivell categoria]]-1))</f>
        <v>1</v>
      </c>
      <c r="AR148" s="64">
        <v>1</v>
      </c>
      <c r="AS148" s="64">
        <v>1</v>
      </c>
      <c r="AT148" s="64">
        <v>1</v>
      </c>
      <c r="AU148" s="64">
        <f>VLOOKUP(Tabla25[[#This Row],[Esport]],Tabla2[],2,FALSE)</f>
        <v>13</v>
      </c>
      <c r="AV148" s="99">
        <f>3-Tabla25[[#This Row],[Nivell categoria]]</f>
        <v>2</v>
      </c>
      <c r="AW148" s="64">
        <f>Tabla25[[#This Row],[Pax]]+Tabla25[[#This Row],[Pax addicional cat.]]</f>
        <v>15</v>
      </c>
    </row>
    <row r="149" spans="17:49" x14ac:dyDescent="0.25">
      <c r="Q149" s="30"/>
      <c r="X149" s="31"/>
      <c r="Z149" s="30"/>
      <c r="AC149" s="5"/>
      <c r="AD149" s="30"/>
      <c r="AL149" s="62" t="s">
        <v>130</v>
      </c>
      <c r="AM149" s="62" t="s">
        <v>98</v>
      </c>
      <c r="AN149" s="62" t="str">
        <f>Tabla25[[#This Row],[Esport i sexe]] &amp; " - " &amp; Tabla25[[#This Row],[Categoria]]</f>
        <v>NATACIÓ MASCULÍ - Primera divisió</v>
      </c>
      <c r="AO149" s="62" t="s">
        <v>34</v>
      </c>
      <c r="AP149" s="64">
        <v>2</v>
      </c>
      <c r="AQ149" s="71">
        <f>1-(0.25* (Tabla25[[#This Row],[Nivell categoria]]-1))</f>
        <v>0.75</v>
      </c>
      <c r="AR149" s="64">
        <v>1</v>
      </c>
      <c r="AS149" s="64">
        <v>1</v>
      </c>
      <c r="AT149" s="64">
        <v>1</v>
      </c>
      <c r="AU149" s="64">
        <f>VLOOKUP(Tabla25[[#This Row],[Esport]],Tabla2[],2,FALSE)</f>
        <v>13</v>
      </c>
      <c r="AV149" s="99">
        <f>3-Tabla25[[#This Row],[Nivell categoria]]</f>
        <v>1</v>
      </c>
      <c r="AW149" s="64">
        <f>Tabla25[[#This Row],[Pax]]+Tabla25[[#This Row],[Pax addicional cat.]]</f>
        <v>14</v>
      </c>
    </row>
    <row r="150" spans="17:49" x14ac:dyDescent="0.25">
      <c r="Q150" s="30"/>
      <c r="X150" s="31"/>
      <c r="Z150" s="30"/>
      <c r="AC150" s="5"/>
      <c r="AD150" s="30"/>
      <c r="AL150" s="62" t="s">
        <v>130</v>
      </c>
      <c r="AM150" s="62" t="s">
        <v>99</v>
      </c>
      <c r="AN150" s="62" t="str">
        <f>Tabla25[[#This Row],[Esport i sexe]] &amp; " - " &amp; Tabla25[[#This Row],[Categoria]]</f>
        <v>NATACIÓ MASCULÍ - Segona divisió</v>
      </c>
      <c r="AO150" s="62" t="s">
        <v>34</v>
      </c>
      <c r="AP150" s="64">
        <v>3</v>
      </c>
      <c r="AQ150" s="71">
        <f>1-(0.25* (Tabla25[[#This Row],[Nivell categoria]]-1))</f>
        <v>0.5</v>
      </c>
      <c r="AR150" s="64">
        <v>1</v>
      </c>
      <c r="AS150" s="64">
        <v>1</v>
      </c>
      <c r="AT150" s="64">
        <v>1</v>
      </c>
      <c r="AU150" s="64">
        <f>VLOOKUP(Tabla25[[#This Row],[Esport]],Tabla2[],2,FALSE)</f>
        <v>13</v>
      </c>
      <c r="AV150" s="99">
        <f>3-Tabla25[[#This Row],[Nivell categoria]]</f>
        <v>0</v>
      </c>
      <c r="AW150" s="64">
        <f>Tabla25[[#This Row],[Pax]]+Tabla25[[#This Row],[Pax addicional cat.]]</f>
        <v>13</v>
      </c>
    </row>
    <row r="151" spans="17:49" ht="12.75" customHeight="1" x14ac:dyDescent="0.25">
      <c r="Q151" s="30"/>
      <c r="X151" s="31"/>
      <c r="Z151" s="30"/>
      <c r="AC151" s="5"/>
      <c r="AD151" s="30"/>
      <c r="AL151" s="62" t="s">
        <v>33</v>
      </c>
      <c r="AM151" s="62" t="s">
        <v>207</v>
      </c>
      <c r="AN151" s="62" t="str">
        <f>Tabla25[[#This Row],[Esport i sexe]] &amp; " - " &amp; Tabla25[[#This Row],[Categoria]]</f>
        <v>PÀDEL - Primera categoria</v>
      </c>
      <c r="AO151" s="62" t="s">
        <v>33</v>
      </c>
      <c r="AP151" s="64">
        <v>1</v>
      </c>
      <c r="AQ151" s="71">
        <f>1-(0.25* (Tabla25[[#This Row],[Nivell categoria]]-1))</f>
        <v>1</v>
      </c>
      <c r="AR151" s="64">
        <v>1</v>
      </c>
      <c r="AS151" s="64">
        <v>1</v>
      </c>
      <c r="AT151" s="64">
        <v>1</v>
      </c>
      <c r="AU151" s="64">
        <f>VLOOKUP(Tabla25[[#This Row],[Esport]],Tabla2[],2,FALSE)</f>
        <v>16</v>
      </c>
      <c r="AV151" s="99">
        <f>3-Tabla25[[#This Row],[Nivell categoria]]</f>
        <v>2</v>
      </c>
      <c r="AW151" s="64">
        <f>Tabla25[[#This Row],[Pax]]+Tabla25[[#This Row],[Pax addicional cat.]]</f>
        <v>18</v>
      </c>
    </row>
    <row r="152" spans="17:49" x14ac:dyDescent="0.25">
      <c r="Q152" s="30"/>
      <c r="X152" s="31"/>
      <c r="Z152" s="30"/>
      <c r="AC152" s="5"/>
      <c r="AD152" s="30"/>
      <c r="AL152" s="62" t="s">
        <v>33</v>
      </c>
      <c r="AM152" s="62" t="s">
        <v>208</v>
      </c>
      <c r="AN152" s="62" t="str">
        <f>Tabla25[[#This Row],[Esport i sexe]] &amp; " - " &amp; Tabla25[[#This Row],[Categoria]]</f>
        <v>PÀDEL - Segona categoria</v>
      </c>
      <c r="AO152" s="62" t="s">
        <v>33</v>
      </c>
      <c r="AP152" s="64">
        <v>2</v>
      </c>
      <c r="AQ152" s="71">
        <f>1-(0.25* (Tabla25[[#This Row],[Nivell categoria]]-1))</f>
        <v>0.75</v>
      </c>
      <c r="AR152" s="64">
        <v>1</v>
      </c>
      <c r="AS152" s="64">
        <v>1</v>
      </c>
      <c r="AT152" s="64">
        <v>1</v>
      </c>
      <c r="AU152" s="64">
        <f>VLOOKUP(Tabla25[[#This Row],[Esport]],Tabla2[],2,FALSE)</f>
        <v>16</v>
      </c>
      <c r="AV152" s="99">
        <f>3-Tabla25[[#This Row],[Nivell categoria]]</f>
        <v>1</v>
      </c>
      <c r="AW152" s="64">
        <f>Tabla25[[#This Row],[Pax]]+Tabla25[[#This Row],[Pax addicional cat.]]</f>
        <v>17</v>
      </c>
    </row>
    <row r="153" spans="17:49" ht="12.75" customHeight="1" x14ac:dyDescent="0.25">
      <c r="Q153" s="30"/>
      <c r="X153" s="31"/>
      <c r="Z153" s="30"/>
      <c r="AC153" s="5"/>
      <c r="AD153" s="30"/>
      <c r="AL153" s="62" t="s">
        <v>131</v>
      </c>
      <c r="AM153" s="62" t="s">
        <v>97</v>
      </c>
      <c r="AN153" s="62" t="str">
        <f>Tabla25[[#This Row],[Esport i sexe]] &amp; " - " &amp; Tabla25[[#This Row],[Categoria]]</f>
        <v>PETANCA  MASCULÍ - Divisió d’honor</v>
      </c>
      <c r="AO153" s="62" t="s">
        <v>32</v>
      </c>
      <c r="AP153" s="64">
        <v>1</v>
      </c>
      <c r="AQ153" s="71">
        <f>1-(0.25* (Tabla25[[#This Row],[Nivell categoria]]-1))</f>
        <v>1</v>
      </c>
      <c r="AR153" s="64">
        <v>1</v>
      </c>
      <c r="AS153" s="64">
        <v>1</v>
      </c>
      <c r="AT153" s="64">
        <v>1</v>
      </c>
      <c r="AU153" s="64">
        <f>VLOOKUP(Tabla25[[#This Row],[Esport]],Tabla2[],2,FALSE)</f>
        <v>8</v>
      </c>
      <c r="AV153" s="99">
        <f>3-Tabla25[[#This Row],[Nivell categoria]]</f>
        <v>2</v>
      </c>
      <c r="AW153" s="64">
        <f>Tabla25[[#This Row],[Pax]]+Tabla25[[#This Row],[Pax addicional cat.]]</f>
        <v>10</v>
      </c>
    </row>
    <row r="154" spans="17:49" ht="12.75" customHeight="1" x14ac:dyDescent="0.25">
      <c r="Q154" s="30"/>
      <c r="X154" s="31"/>
      <c r="Z154" s="30"/>
      <c r="AC154" s="5"/>
      <c r="AD154" s="30"/>
      <c r="AL154" s="62" t="s">
        <v>131</v>
      </c>
      <c r="AM154" s="62" t="s">
        <v>98</v>
      </c>
      <c r="AN154" s="62" t="str">
        <f>Tabla25[[#This Row],[Esport i sexe]] &amp; " - " &amp; Tabla25[[#This Row],[Categoria]]</f>
        <v>PETANCA  MASCULÍ - Primera divisió</v>
      </c>
      <c r="AO154" s="62" t="s">
        <v>32</v>
      </c>
      <c r="AP154" s="64">
        <v>2</v>
      </c>
      <c r="AQ154" s="71">
        <f>1-(0.25* (Tabla25[[#This Row],[Nivell categoria]]-1))</f>
        <v>0.75</v>
      </c>
      <c r="AR154" s="64">
        <v>1</v>
      </c>
      <c r="AS154" s="64">
        <v>1</v>
      </c>
      <c r="AT154" s="64">
        <v>1</v>
      </c>
      <c r="AU154" s="64">
        <f>VLOOKUP(Tabla25[[#This Row],[Esport]],Tabla2[],2,FALSE)</f>
        <v>8</v>
      </c>
      <c r="AV154" s="99">
        <f>3-Tabla25[[#This Row],[Nivell categoria]]</f>
        <v>1</v>
      </c>
      <c r="AW154" s="64">
        <f>Tabla25[[#This Row],[Pax]]+Tabla25[[#This Row],[Pax addicional cat.]]</f>
        <v>9</v>
      </c>
    </row>
    <row r="155" spans="17:49" ht="12.75" customHeight="1" x14ac:dyDescent="0.25">
      <c r="Q155" s="30"/>
      <c r="X155" s="31"/>
      <c r="Z155" s="30"/>
      <c r="AC155" s="5"/>
      <c r="AD155" s="30"/>
      <c r="AL155" s="62" t="s">
        <v>132</v>
      </c>
      <c r="AM155" s="62" t="s">
        <v>97</v>
      </c>
      <c r="AN155" s="62" t="str">
        <f>Tabla25[[#This Row],[Esport i sexe]] &amp; " - " &amp; Tabla25[[#This Row],[Categoria]]</f>
        <v>PETANCA FEMENÍ - Divisió d’honor</v>
      </c>
      <c r="AO155" s="62" t="s">
        <v>32</v>
      </c>
      <c r="AP155" s="64">
        <v>1</v>
      </c>
      <c r="AQ155" s="71">
        <f>1-(0.25* (Tabla25[[#This Row],[Nivell categoria]]-1))</f>
        <v>1</v>
      </c>
      <c r="AR155" s="64">
        <v>1</v>
      </c>
      <c r="AS155" s="64">
        <v>1</v>
      </c>
      <c r="AT155" s="64">
        <v>1</v>
      </c>
      <c r="AU155" s="64">
        <f>VLOOKUP(Tabla25[[#This Row],[Esport]],Tabla2[],2,FALSE)</f>
        <v>8</v>
      </c>
      <c r="AV155" s="99">
        <f>3-Tabla25[[#This Row],[Nivell categoria]]</f>
        <v>2</v>
      </c>
      <c r="AW155" s="64">
        <f>Tabla25[[#This Row],[Pax]]+Tabla25[[#This Row],[Pax addicional cat.]]</f>
        <v>10</v>
      </c>
    </row>
    <row r="156" spans="17:49" ht="12.75" customHeight="1" x14ac:dyDescent="0.25">
      <c r="Q156" s="30"/>
      <c r="X156" s="31"/>
      <c r="Z156" s="30"/>
      <c r="AC156" s="5"/>
      <c r="AD156" s="30"/>
      <c r="AL156" s="62" t="s">
        <v>185</v>
      </c>
      <c r="AM156" s="62" t="s">
        <v>183</v>
      </c>
      <c r="AN156" s="62" t="str">
        <f>Tabla25[[#This Row],[Esport i sexe]] &amp; " - " &amp; Tabla25[[#This Row],[Categoria]]</f>
        <v>RUGBI FEMENÍ - Divisió d'honor</v>
      </c>
      <c r="AO156" s="62" t="s">
        <v>22</v>
      </c>
      <c r="AP156" s="64">
        <v>1</v>
      </c>
      <c r="AQ156" s="71">
        <f>1-(0.25* (Tabla25[[#This Row],[Nivell categoria]]-1))</f>
        <v>1</v>
      </c>
      <c r="AR156" s="64">
        <v>1</v>
      </c>
      <c r="AS156" s="64">
        <v>1</v>
      </c>
      <c r="AT156" s="64">
        <v>1</v>
      </c>
      <c r="AU156" s="64">
        <f>VLOOKUP(Tabla25[[#This Row],[Esport]],Tabla2[],2,FALSE)</f>
        <v>23</v>
      </c>
      <c r="AV156" s="99">
        <f>3-Tabla25[[#This Row],[Nivell categoria]]</f>
        <v>2</v>
      </c>
      <c r="AW156" s="64">
        <f>Tabla25[[#This Row],[Pax]]+Tabla25[[#This Row],[Pax addicional cat.]]</f>
        <v>25</v>
      </c>
    </row>
    <row r="157" spans="17:49" ht="12.75" customHeight="1" x14ac:dyDescent="0.25">
      <c r="Q157" s="30"/>
      <c r="X157" s="31"/>
      <c r="Z157" s="30"/>
      <c r="AC157" s="5"/>
      <c r="AD157" s="30"/>
      <c r="AL157" s="62" t="s">
        <v>185</v>
      </c>
      <c r="AM157" s="62" t="s">
        <v>134</v>
      </c>
      <c r="AN157" s="62" t="str">
        <f>Tabla25[[#This Row],[Esport i sexe]] &amp; " - " &amp; Tabla25[[#This Row],[Categoria]]</f>
        <v>RUGBI FEMENÍ - Divisió d’honor B</v>
      </c>
      <c r="AO157" s="62" t="s">
        <v>22</v>
      </c>
      <c r="AP157" s="64">
        <v>3</v>
      </c>
      <c r="AQ157" s="71">
        <f>1-(0.25* (Tabla25[[#This Row],[Nivell categoria]]-1))</f>
        <v>0.5</v>
      </c>
      <c r="AR157" s="64">
        <v>1</v>
      </c>
      <c r="AS157" s="64">
        <v>1</v>
      </c>
      <c r="AT157" s="64">
        <v>1</v>
      </c>
      <c r="AU157" s="64">
        <f>VLOOKUP(Tabla25[[#This Row],[Esport]],Tabla2[],2,FALSE)</f>
        <v>23</v>
      </c>
      <c r="AV157" s="99">
        <f>3-Tabla25[[#This Row],[Nivell categoria]]</f>
        <v>0</v>
      </c>
      <c r="AW157" s="64">
        <f>Tabla25[[#This Row],[Pax]]+Tabla25[[#This Row],[Pax addicional cat.]]</f>
        <v>23</v>
      </c>
    </row>
    <row r="158" spans="17:49" x14ac:dyDescent="0.25">
      <c r="Q158" s="30"/>
      <c r="X158" s="31"/>
      <c r="Z158" s="30"/>
      <c r="AC158" s="5"/>
      <c r="AD158" s="30"/>
      <c r="AL158" s="62" t="s">
        <v>133</v>
      </c>
      <c r="AM158" s="62" t="s">
        <v>218</v>
      </c>
      <c r="AN158" s="62" t="str">
        <f>Tabla25[[#This Row],[Esport i sexe]] &amp; " - " &amp; Tabla25[[#This Row],[Categoria]]</f>
        <v>RUGBI MASCULÍ - Lliga Iberdrola (divisió honor fem)</v>
      </c>
      <c r="AO158" s="62" t="s">
        <v>22</v>
      </c>
      <c r="AP158" s="64">
        <v>1</v>
      </c>
      <c r="AQ158" s="71">
        <f>1-(0.25* (Tabla25[[#This Row],[Nivell categoria]]-1))</f>
        <v>1</v>
      </c>
      <c r="AR158" s="64">
        <v>1</v>
      </c>
      <c r="AS158" s="64">
        <v>1</v>
      </c>
      <c r="AT158" s="64">
        <v>1</v>
      </c>
      <c r="AU158" s="64">
        <f>VLOOKUP(Tabla25[[#This Row],[Esport]],Tabla2[],2,FALSE)</f>
        <v>23</v>
      </c>
      <c r="AV158" s="99">
        <f>3-Tabla25[[#This Row],[Nivell categoria]]</f>
        <v>2</v>
      </c>
      <c r="AW158" s="64">
        <f>Tabla25[[#This Row],[Pax]]+Tabla25[[#This Row],[Pax addicional cat.]]</f>
        <v>25</v>
      </c>
    </row>
    <row r="159" spans="17:49" ht="12.75" customHeight="1" x14ac:dyDescent="0.25">
      <c r="Q159" s="30"/>
      <c r="X159" s="31"/>
      <c r="Z159" s="30"/>
      <c r="AC159" s="5"/>
      <c r="AD159" s="30"/>
      <c r="AL159" s="62" t="s">
        <v>133</v>
      </c>
      <c r="AM159" s="62" t="s">
        <v>134</v>
      </c>
      <c r="AN159" s="62" t="str">
        <f>Tabla25[[#This Row],[Esport i sexe]] &amp; " - " &amp; Tabla25[[#This Row],[Categoria]]</f>
        <v>RUGBI MASCULÍ - Divisió d’honor B</v>
      </c>
      <c r="AO159" s="62" t="s">
        <v>22</v>
      </c>
      <c r="AP159" s="64">
        <v>3</v>
      </c>
      <c r="AQ159" s="71">
        <f>1-(0.25* (Tabla25[[#This Row],[Nivell categoria]]-1))</f>
        <v>0.5</v>
      </c>
      <c r="AR159" s="64">
        <v>1</v>
      </c>
      <c r="AS159" s="64">
        <v>1</v>
      </c>
      <c r="AT159" s="64">
        <v>1</v>
      </c>
      <c r="AU159" s="64">
        <f>VLOOKUP(Tabla25[[#This Row],[Esport]],Tabla2[],2,FALSE)</f>
        <v>23</v>
      </c>
      <c r="AV159" s="99">
        <f>3-Tabla25[[#This Row],[Nivell categoria]]</f>
        <v>0</v>
      </c>
      <c r="AW159" s="64">
        <f>Tabla25[[#This Row],[Pax]]+Tabla25[[#This Row],[Pax addicional cat.]]</f>
        <v>23</v>
      </c>
    </row>
    <row r="160" spans="17:49" x14ac:dyDescent="0.25">
      <c r="Q160" s="30"/>
      <c r="X160" s="31"/>
      <c r="Z160" s="30"/>
      <c r="AC160" s="5"/>
      <c r="AD160" s="30"/>
      <c r="AL160" s="62" t="s">
        <v>135</v>
      </c>
      <c r="AM160" s="62" t="s">
        <v>136</v>
      </c>
      <c r="AN160" s="62" t="str">
        <f>Tabla25[[#This Row],[Esport i sexe]] &amp; " - " &amp; Tabla25[[#This Row],[Categoria]]</f>
        <v>TENNIS TAULA FEMENÍ - Superdivisió femenina</v>
      </c>
      <c r="AO160" s="62" t="s">
        <v>31</v>
      </c>
      <c r="AP160" s="64">
        <v>1</v>
      </c>
      <c r="AQ160" s="71">
        <f>1-(0.25* (Tabla25[[#This Row],[Nivell categoria]]-1))</f>
        <v>1</v>
      </c>
      <c r="AR160" s="64">
        <v>1</v>
      </c>
      <c r="AS160" s="64">
        <v>1</v>
      </c>
      <c r="AT160" s="64">
        <v>1</v>
      </c>
      <c r="AU160" s="64">
        <f>VLOOKUP(Tabla25[[#This Row],[Esport]],Tabla2[],2,FALSE)</f>
        <v>6</v>
      </c>
      <c r="AV160" s="99">
        <f>3-Tabla25[[#This Row],[Nivell categoria]]</f>
        <v>2</v>
      </c>
      <c r="AW160" s="64">
        <f>Tabla25[[#This Row],[Pax]]+Tabla25[[#This Row],[Pax addicional cat.]]</f>
        <v>8</v>
      </c>
    </row>
    <row r="161" spans="17:49" x14ac:dyDescent="0.25">
      <c r="Q161" s="30"/>
      <c r="X161" s="31"/>
      <c r="Z161" s="30"/>
      <c r="AC161" s="5"/>
      <c r="AD161" s="30"/>
      <c r="AL161" s="62" t="s">
        <v>135</v>
      </c>
      <c r="AM161" s="62" t="s">
        <v>97</v>
      </c>
      <c r="AN161" s="62" t="str">
        <f>Tabla25[[#This Row],[Esport i sexe]] &amp; " - " &amp; Tabla25[[#This Row],[Categoria]]</f>
        <v>TENNIS TAULA FEMENÍ - Divisió d’honor</v>
      </c>
      <c r="AO161" s="62" t="s">
        <v>31</v>
      </c>
      <c r="AP161" s="64">
        <v>2</v>
      </c>
      <c r="AQ161" s="71">
        <f>1-(0.25* (Tabla25[[#This Row],[Nivell categoria]]-1))</f>
        <v>0.75</v>
      </c>
      <c r="AR161" s="64">
        <v>1</v>
      </c>
      <c r="AS161" s="64">
        <v>1</v>
      </c>
      <c r="AT161" s="64">
        <v>1</v>
      </c>
      <c r="AU161" s="64">
        <f>VLOOKUP(Tabla25[[#This Row],[Esport]],Tabla2[],2,FALSE)</f>
        <v>6</v>
      </c>
      <c r="AV161" s="99">
        <f>3-Tabla25[[#This Row],[Nivell categoria]]</f>
        <v>1</v>
      </c>
      <c r="AW161" s="64">
        <f>Tabla25[[#This Row],[Pax]]+Tabla25[[#This Row],[Pax addicional cat.]]</f>
        <v>7</v>
      </c>
    </row>
    <row r="162" spans="17:49" ht="12.75" customHeight="1" x14ac:dyDescent="0.25">
      <c r="Q162" s="30"/>
      <c r="X162" s="31"/>
      <c r="Z162" s="30"/>
      <c r="AC162" s="5"/>
      <c r="AD162" s="30"/>
      <c r="AL162" s="62" t="s">
        <v>135</v>
      </c>
      <c r="AM162" s="62" t="s">
        <v>98</v>
      </c>
      <c r="AN162" s="62" t="str">
        <f>Tabla25[[#This Row],[Esport i sexe]] &amp; " - " &amp; Tabla25[[#This Row],[Categoria]]</f>
        <v>TENNIS TAULA FEMENÍ - Primera divisió</v>
      </c>
      <c r="AO162" s="62" t="s">
        <v>31</v>
      </c>
      <c r="AP162" s="64">
        <v>3</v>
      </c>
      <c r="AQ162" s="71">
        <f>1-(0.25* (Tabla25[[#This Row],[Nivell categoria]]-1))</f>
        <v>0.5</v>
      </c>
      <c r="AR162" s="64">
        <v>1</v>
      </c>
      <c r="AS162" s="64">
        <v>1</v>
      </c>
      <c r="AT162" s="64">
        <v>1</v>
      </c>
      <c r="AU162" s="64">
        <f>VLOOKUP(Tabla25[[#This Row],[Esport]],Tabla2[],2,FALSE)</f>
        <v>6</v>
      </c>
      <c r="AV162" s="99">
        <f>3-Tabla25[[#This Row],[Nivell categoria]]</f>
        <v>0</v>
      </c>
      <c r="AW162" s="64">
        <f>Tabla25[[#This Row],[Pax]]+Tabla25[[#This Row],[Pax addicional cat.]]</f>
        <v>6</v>
      </c>
    </row>
    <row r="163" spans="17:49" ht="12.75" customHeight="1" x14ac:dyDescent="0.25">
      <c r="Q163" s="30"/>
      <c r="X163" s="31"/>
      <c r="Z163" s="30"/>
      <c r="AC163" s="5"/>
      <c r="AD163" s="30"/>
      <c r="AL163" s="62" t="s">
        <v>137</v>
      </c>
      <c r="AM163" s="62" t="s">
        <v>138</v>
      </c>
      <c r="AN163" s="62" t="str">
        <f>Tabla25[[#This Row],[Esport i sexe]] &amp; " - " &amp; Tabla25[[#This Row],[Categoria]]</f>
        <v>TENNIS TAULA MASCULÍ - Superdivisió masculina</v>
      </c>
      <c r="AO163" s="62" t="s">
        <v>31</v>
      </c>
      <c r="AP163" s="64">
        <v>1</v>
      </c>
      <c r="AQ163" s="71">
        <f>1-(0.25* (Tabla25[[#This Row],[Nivell categoria]]-1))</f>
        <v>1</v>
      </c>
      <c r="AR163" s="64">
        <v>1</v>
      </c>
      <c r="AS163" s="64">
        <v>1</v>
      </c>
      <c r="AT163" s="64">
        <v>1</v>
      </c>
      <c r="AU163" s="64">
        <f>VLOOKUP(Tabla25[[#This Row],[Esport]],Tabla2[],2,FALSE)</f>
        <v>6</v>
      </c>
      <c r="AV163" s="99">
        <f>3-Tabla25[[#This Row],[Nivell categoria]]</f>
        <v>2</v>
      </c>
      <c r="AW163" s="64">
        <f>Tabla25[[#This Row],[Pax]]+Tabla25[[#This Row],[Pax addicional cat.]]</f>
        <v>8</v>
      </c>
    </row>
    <row r="164" spans="17:49" ht="12.75" customHeight="1" x14ac:dyDescent="0.25">
      <c r="Q164" s="30"/>
      <c r="X164" s="31"/>
      <c r="Z164" s="30"/>
      <c r="AC164" s="5"/>
      <c r="AD164" s="30"/>
      <c r="AL164" s="62" t="s">
        <v>137</v>
      </c>
      <c r="AM164" s="62" t="s">
        <v>97</v>
      </c>
      <c r="AN164" s="62" t="str">
        <f>Tabla25[[#This Row],[Esport i sexe]] &amp; " - " &amp; Tabla25[[#This Row],[Categoria]]</f>
        <v>TENNIS TAULA MASCULÍ - Divisió d’honor</v>
      </c>
      <c r="AO164" s="62" t="s">
        <v>31</v>
      </c>
      <c r="AP164" s="64">
        <v>2</v>
      </c>
      <c r="AQ164" s="71">
        <f>1-(0.25* (Tabla25[[#This Row],[Nivell categoria]]-1))</f>
        <v>0.75</v>
      </c>
      <c r="AR164" s="64">
        <v>1</v>
      </c>
      <c r="AS164" s="64">
        <v>1</v>
      </c>
      <c r="AT164" s="64">
        <v>1</v>
      </c>
      <c r="AU164" s="64">
        <f>VLOOKUP(Tabla25[[#This Row],[Esport]],Tabla2[],2,FALSE)</f>
        <v>6</v>
      </c>
      <c r="AV164" s="99">
        <f>3-Tabla25[[#This Row],[Nivell categoria]]</f>
        <v>1</v>
      </c>
      <c r="AW164" s="64">
        <f>Tabla25[[#This Row],[Pax]]+Tabla25[[#This Row],[Pax addicional cat.]]</f>
        <v>7</v>
      </c>
    </row>
    <row r="165" spans="17:49" x14ac:dyDescent="0.25">
      <c r="Q165" s="30"/>
      <c r="X165" s="31"/>
      <c r="Z165" s="30"/>
      <c r="AC165" s="5"/>
      <c r="AD165" s="30"/>
      <c r="AL165" s="62" t="s">
        <v>137</v>
      </c>
      <c r="AM165" s="62" t="s">
        <v>98</v>
      </c>
      <c r="AN165" s="62" t="str">
        <f>Tabla25[[#This Row],[Esport i sexe]] &amp; " - " &amp; Tabla25[[#This Row],[Categoria]]</f>
        <v>TENNIS TAULA MASCULÍ - Primera divisió</v>
      </c>
      <c r="AO165" s="62" t="s">
        <v>31</v>
      </c>
      <c r="AP165" s="64">
        <v>3</v>
      </c>
      <c r="AQ165" s="71">
        <f>1-(0.25* (Tabla25[[#This Row],[Nivell categoria]]-1))</f>
        <v>0.5</v>
      </c>
      <c r="AR165" s="64">
        <v>1</v>
      </c>
      <c r="AS165" s="64">
        <v>1</v>
      </c>
      <c r="AT165" s="64">
        <v>1</v>
      </c>
      <c r="AU165" s="64">
        <f>VLOOKUP(Tabla25[[#This Row],[Esport]],Tabla2[],2,FALSE)</f>
        <v>6</v>
      </c>
      <c r="AV165" s="99">
        <f>3-Tabla25[[#This Row],[Nivell categoria]]</f>
        <v>0</v>
      </c>
      <c r="AW165" s="64">
        <f>Tabla25[[#This Row],[Pax]]+Tabla25[[#This Row],[Pax addicional cat.]]</f>
        <v>6</v>
      </c>
    </row>
    <row r="166" spans="17:49" ht="12.75" customHeight="1" x14ac:dyDescent="0.25">
      <c r="Q166" s="30"/>
      <c r="X166" s="31"/>
      <c r="Z166" s="30"/>
      <c r="AC166" s="5"/>
      <c r="AD166" s="30"/>
      <c r="AL166" s="62" t="s">
        <v>30</v>
      </c>
      <c r="AM166" s="62" t="s">
        <v>116</v>
      </c>
      <c r="AN166" s="62" t="str">
        <f>Tabla25[[#This Row],[Esport i sexe]] &amp; " - " &amp; Tabla25[[#This Row],[Categoria]]</f>
        <v>TIR AMB ARC - Categoria absoluta</v>
      </c>
      <c r="AO166" s="62" t="s">
        <v>30</v>
      </c>
      <c r="AP166" s="64">
        <v>1</v>
      </c>
      <c r="AQ166" s="71">
        <f>1-(0.25* (Tabla25[[#This Row],[Nivell categoria]]-1))</f>
        <v>1</v>
      </c>
      <c r="AR166" s="64">
        <v>1</v>
      </c>
      <c r="AS166" s="64">
        <v>1</v>
      </c>
      <c r="AT166" s="64">
        <v>1</v>
      </c>
      <c r="AU166" s="64">
        <f>VLOOKUP(Tabla25[[#This Row],[Esport]],Tabla2[],2,FALSE)</f>
        <v>5</v>
      </c>
      <c r="AV166" s="99">
        <f>3-Tabla25[[#This Row],[Nivell categoria]]</f>
        <v>2</v>
      </c>
      <c r="AW166" s="64">
        <f>Tabla25[[#This Row],[Pax]]+Tabla25[[#This Row],[Pax addicional cat.]]</f>
        <v>7</v>
      </c>
    </row>
    <row r="167" spans="17:49" ht="12.75" customHeight="1" x14ac:dyDescent="0.25">
      <c r="Q167" s="30"/>
      <c r="X167" s="31"/>
      <c r="Z167" s="30"/>
      <c r="AC167" s="5"/>
      <c r="AD167" s="30"/>
      <c r="AL167" s="62" t="s">
        <v>139</v>
      </c>
      <c r="AM167" s="62" t="s">
        <v>209</v>
      </c>
      <c r="AN167" s="62" t="str">
        <f>Tabla25[[#This Row],[Esport i sexe]] &amp; " - " &amp; Tabla25[[#This Row],[Categoria]]</f>
        <v>VOLEIBOL FEMENÍ - Superlliga (Lliga Iberdrola)</v>
      </c>
      <c r="AO167" s="62" t="s">
        <v>21</v>
      </c>
      <c r="AP167" s="64">
        <v>1</v>
      </c>
      <c r="AQ167" s="71">
        <f>1-(0.25* (Tabla25[[#This Row],[Nivell categoria]]-1))</f>
        <v>1</v>
      </c>
      <c r="AR167" s="64">
        <v>1</v>
      </c>
      <c r="AS167" s="64">
        <v>1</v>
      </c>
      <c r="AT167" s="64">
        <v>1</v>
      </c>
      <c r="AU167" s="64">
        <f>VLOOKUP(Tabla25[[#This Row],[Esport]],Tabla2[],2,FALSE)</f>
        <v>15</v>
      </c>
      <c r="AV167" s="99">
        <f>3-Tabla25[[#This Row],[Nivell categoria]]</f>
        <v>2</v>
      </c>
      <c r="AW167" s="64">
        <f>Tabla25[[#This Row],[Pax]]+Tabla25[[#This Row],[Pax addicional cat.]]</f>
        <v>17</v>
      </c>
    </row>
    <row r="168" spans="17:49" ht="12.75" customHeight="1" x14ac:dyDescent="0.25">
      <c r="Q168" s="30"/>
      <c r="X168" s="31"/>
      <c r="Z168" s="30"/>
      <c r="AC168" s="5"/>
      <c r="AD168" s="30"/>
      <c r="AL168" s="62" t="s">
        <v>139</v>
      </c>
      <c r="AM168" s="62" t="s">
        <v>140</v>
      </c>
      <c r="AN168" s="62" t="str">
        <f>Tabla25[[#This Row],[Esport i sexe]] &amp; " - " &amp; Tabla25[[#This Row],[Categoria]]</f>
        <v>VOLEIBOL FEMENÍ - Superlliga 2</v>
      </c>
      <c r="AO168" s="62" t="s">
        <v>21</v>
      </c>
      <c r="AP168" s="64">
        <v>2</v>
      </c>
      <c r="AQ168" s="71">
        <f>1-(0.25* (Tabla25[[#This Row],[Nivell categoria]]-1))</f>
        <v>0.75</v>
      </c>
      <c r="AR168" s="64">
        <v>1</v>
      </c>
      <c r="AS168" s="64">
        <v>1</v>
      </c>
      <c r="AT168" s="64">
        <v>1</v>
      </c>
      <c r="AU168" s="64">
        <f>VLOOKUP(Tabla25[[#This Row],[Esport]],Tabla2[],2,FALSE)</f>
        <v>15</v>
      </c>
      <c r="AV168" s="99">
        <f>3-Tabla25[[#This Row],[Nivell categoria]]</f>
        <v>1</v>
      </c>
      <c r="AW168" s="64">
        <f>Tabla25[[#This Row],[Pax]]+Tabla25[[#This Row],[Pax addicional cat.]]</f>
        <v>16</v>
      </c>
    </row>
    <row r="169" spans="17:49" ht="12.75" customHeight="1" x14ac:dyDescent="0.25">
      <c r="Q169" s="30"/>
      <c r="X169" s="31"/>
      <c r="Z169" s="30"/>
      <c r="AC169" s="5"/>
      <c r="AD169" s="30"/>
      <c r="AL169" s="62" t="s">
        <v>139</v>
      </c>
      <c r="AM169" s="62" t="s">
        <v>98</v>
      </c>
      <c r="AN169" s="62" t="str">
        <f>Tabla25[[#This Row],[Esport i sexe]] &amp; " - " &amp; Tabla25[[#This Row],[Categoria]]</f>
        <v>VOLEIBOL FEMENÍ - Primera divisió</v>
      </c>
      <c r="AO169" s="62" t="s">
        <v>21</v>
      </c>
      <c r="AP169" s="64">
        <v>3</v>
      </c>
      <c r="AQ169" s="71">
        <f>1-(0.25* (Tabla25[[#This Row],[Nivell categoria]]-1))</f>
        <v>0.5</v>
      </c>
      <c r="AR169" s="64">
        <v>1</v>
      </c>
      <c r="AS169" s="64">
        <v>1</v>
      </c>
      <c r="AT169" s="64">
        <v>1</v>
      </c>
      <c r="AU169" s="64">
        <f>VLOOKUP(Tabla25[[#This Row],[Esport]],Tabla2[],2,FALSE)</f>
        <v>15</v>
      </c>
      <c r="AV169" s="99">
        <f>3-Tabla25[[#This Row],[Nivell categoria]]</f>
        <v>0</v>
      </c>
      <c r="AW169" s="64">
        <f>Tabla25[[#This Row],[Pax]]+Tabla25[[#This Row],[Pax addicional cat.]]</f>
        <v>15</v>
      </c>
    </row>
    <row r="170" spans="17:49" x14ac:dyDescent="0.25">
      <c r="Q170" s="30"/>
      <c r="X170" s="31"/>
      <c r="Z170" s="30"/>
      <c r="AC170" s="5"/>
      <c r="AD170" s="30"/>
      <c r="AL170" s="62" t="s">
        <v>141</v>
      </c>
      <c r="AM170" s="62" t="s">
        <v>142</v>
      </c>
      <c r="AN170" s="62" t="str">
        <f>Tabla25[[#This Row],[Esport i sexe]] &amp; " - " &amp; Tabla25[[#This Row],[Categoria]]</f>
        <v>VOLEIBOL MASCULÍ - Superlliga</v>
      </c>
      <c r="AO170" s="62" t="s">
        <v>21</v>
      </c>
      <c r="AP170" s="64">
        <v>1</v>
      </c>
      <c r="AQ170" s="71">
        <f>1-(0.25* (Tabla25[[#This Row],[Nivell categoria]]-1))</f>
        <v>1</v>
      </c>
      <c r="AR170" s="64">
        <v>1</v>
      </c>
      <c r="AS170" s="64">
        <v>1</v>
      </c>
      <c r="AT170" s="64">
        <v>1</v>
      </c>
      <c r="AU170" s="64">
        <f>VLOOKUP(Tabla25[[#This Row],[Esport]],Tabla2[],2,FALSE)</f>
        <v>15</v>
      </c>
      <c r="AV170" s="99">
        <f>3-Tabla25[[#This Row],[Nivell categoria]]</f>
        <v>2</v>
      </c>
      <c r="AW170" s="64">
        <f>Tabla25[[#This Row],[Pax]]+Tabla25[[#This Row],[Pax addicional cat.]]</f>
        <v>17</v>
      </c>
    </row>
    <row r="171" spans="17:49" x14ac:dyDescent="0.25">
      <c r="Q171" s="30"/>
      <c r="X171" s="31"/>
      <c r="Z171" s="30"/>
      <c r="AC171" s="5"/>
      <c r="AD171" s="30"/>
      <c r="AL171" s="62" t="s">
        <v>141</v>
      </c>
      <c r="AM171" s="62" t="s">
        <v>140</v>
      </c>
      <c r="AN171" s="62" t="str">
        <f>Tabla25[[#This Row],[Esport i sexe]] &amp; " - " &amp; Tabla25[[#This Row],[Categoria]]</f>
        <v>VOLEIBOL MASCULÍ - Superlliga 2</v>
      </c>
      <c r="AO171" s="62" t="s">
        <v>21</v>
      </c>
      <c r="AP171" s="64">
        <v>2</v>
      </c>
      <c r="AQ171" s="71">
        <f>1-(0.25* (Tabla25[[#This Row],[Nivell categoria]]-1))</f>
        <v>0.75</v>
      </c>
      <c r="AR171" s="64">
        <v>1</v>
      </c>
      <c r="AS171" s="64">
        <v>1</v>
      </c>
      <c r="AT171" s="64">
        <v>1</v>
      </c>
      <c r="AU171" s="64">
        <f>VLOOKUP(Tabla25[[#This Row],[Esport]],Tabla2[],2,FALSE)</f>
        <v>15</v>
      </c>
      <c r="AV171" s="99">
        <f>3-Tabla25[[#This Row],[Nivell categoria]]</f>
        <v>1</v>
      </c>
      <c r="AW171" s="64">
        <f>Tabla25[[#This Row],[Pax]]+Tabla25[[#This Row],[Pax addicional cat.]]</f>
        <v>16</v>
      </c>
    </row>
    <row r="172" spans="17:49" x14ac:dyDescent="0.25">
      <c r="Q172" s="30"/>
      <c r="X172" s="31"/>
      <c r="Z172" s="30"/>
      <c r="AC172" s="5"/>
      <c r="AD172" s="30"/>
      <c r="AL172" s="62" t="s">
        <v>141</v>
      </c>
      <c r="AM172" s="62" t="s">
        <v>98</v>
      </c>
      <c r="AN172" s="62" t="str">
        <f>Tabla25[[#This Row],[Esport i sexe]] &amp; " - " &amp; Tabla25[[#This Row],[Categoria]]</f>
        <v>VOLEIBOL MASCULÍ - Primera divisió</v>
      </c>
      <c r="AO172" s="62" t="s">
        <v>21</v>
      </c>
      <c r="AP172" s="64">
        <v>3</v>
      </c>
      <c r="AQ172" s="71">
        <f>1-(0.25* (Tabla25[[#This Row],[Nivell categoria]]-1))</f>
        <v>0.5</v>
      </c>
      <c r="AR172" s="64">
        <v>1</v>
      </c>
      <c r="AS172" s="64">
        <v>1</v>
      </c>
      <c r="AT172" s="64">
        <v>1</v>
      </c>
      <c r="AU172" s="64">
        <f>VLOOKUP(Tabla25[[#This Row],[Esport]],Tabla2[],2,FALSE)</f>
        <v>15</v>
      </c>
      <c r="AV172" s="99">
        <f>3-Tabla25[[#This Row],[Nivell categoria]]</f>
        <v>0</v>
      </c>
      <c r="AW172" s="64">
        <f>Tabla25[[#This Row],[Pax]]+Tabla25[[#This Row],[Pax addicional cat.]]</f>
        <v>15</v>
      </c>
    </row>
    <row r="173" spans="17:49" x14ac:dyDescent="0.25">
      <c r="Q173" s="30"/>
      <c r="X173" s="31"/>
      <c r="Z173" s="30"/>
      <c r="AC173" s="5"/>
      <c r="AD173" s="30"/>
      <c r="AL173" s="62" t="s">
        <v>143</v>
      </c>
      <c r="AM173" s="62" t="s">
        <v>97</v>
      </c>
      <c r="AN173" s="62" t="str">
        <f>Tabla25[[#This Row],[Esport i sexe]] &amp; " - " &amp; Tabla25[[#This Row],[Categoria]]</f>
        <v>WATERPOLO FEMENÍ - Divisió d’honor</v>
      </c>
      <c r="AO173" s="62" t="s">
        <v>20</v>
      </c>
      <c r="AP173" s="64">
        <v>1</v>
      </c>
      <c r="AQ173" s="71">
        <f>1-(0.25* (Tabla25[[#This Row],[Nivell categoria]]-1))</f>
        <v>1</v>
      </c>
      <c r="AR173" s="64">
        <v>1</v>
      </c>
      <c r="AS173" s="64">
        <v>1</v>
      </c>
      <c r="AT173" s="64">
        <v>1</v>
      </c>
      <c r="AU173" s="64">
        <f>VLOOKUP(Tabla25[[#This Row],[Esport]],Tabla2[],2,FALSE)</f>
        <v>14</v>
      </c>
      <c r="AV173" s="99">
        <f>3-Tabla25[[#This Row],[Nivell categoria]]</f>
        <v>2</v>
      </c>
      <c r="AW173" s="64">
        <f>Tabla25[[#This Row],[Pax]]+Tabla25[[#This Row],[Pax addicional cat.]]</f>
        <v>16</v>
      </c>
    </row>
    <row r="174" spans="17:49" x14ac:dyDescent="0.25">
      <c r="Q174" s="30"/>
      <c r="X174" s="31"/>
      <c r="Z174" s="30"/>
      <c r="AC174" s="5"/>
      <c r="AD174" s="30"/>
      <c r="AL174" s="62" t="s">
        <v>143</v>
      </c>
      <c r="AM174" s="62" t="s">
        <v>98</v>
      </c>
      <c r="AN174" s="62" t="str">
        <f>Tabla25[[#This Row],[Esport i sexe]] &amp; " - " &amp; Tabla25[[#This Row],[Categoria]]</f>
        <v>WATERPOLO FEMENÍ - Primera divisió</v>
      </c>
      <c r="AO174" s="62" t="s">
        <v>20</v>
      </c>
      <c r="AP174" s="64">
        <v>2</v>
      </c>
      <c r="AQ174" s="71">
        <f>1-(0.25* (Tabla25[[#This Row],[Nivell categoria]]-1))</f>
        <v>0.75</v>
      </c>
      <c r="AR174" s="64">
        <v>1</v>
      </c>
      <c r="AS174" s="64">
        <v>1</v>
      </c>
      <c r="AT174" s="64">
        <v>1</v>
      </c>
      <c r="AU174" s="64">
        <f>VLOOKUP(Tabla25[[#This Row],[Esport]],Tabla2[],2,FALSE)</f>
        <v>14</v>
      </c>
      <c r="AV174" s="99">
        <f>3-Tabla25[[#This Row],[Nivell categoria]]</f>
        <v>1</v>
      </c>
      <c r="AW174" s="64">
        <f>Tabla25[[#This Row],[Pax]]+Tabla25[[#This Row],[Pax addicional cat.]]</f>
        <v>15</v>
      </c>
    </row>
    <row r="175" spans="17:49" x14ac:dyDescent="0.25">
      <c r="Q175" s="30"/>
      <c r="X175" s="31"/>
      <c r="Z175" s="30"/>
      <c r="AC175" s="5"/>
      <c r="AD175" s="30"/>
      <c r="AL175" s="62" t="s">
        <v>144</v>
      </c>
      <c r="AM175" s="62" t="s">
        <v>97</v>
      </c>
      <c r="AN175" s="62" t="str">
        <f>Tabla25[[#This Row],[Esport i sexe]] &amp; " - " &amp; Tabla25[[#This Row],[Categoria]]</f>
        <v>WATERPOLO MASCULÍ - Divisió d’honor</v>
      </c>
      <c r="AO175" s="62" t="s">
        <v>20</v>
      </c>
      <c r="AP175" s="64">
        <v>1</v>
      </c>
      <c r="AQ175" s="71">
        <f>1-(0.25* (Tabla25[[#This Row],[Nivell categoria]]-1))</f>
        <v>1</v>
      </c>
      <c r="AR175" s="64">
        <v>1</v>
      </c>
      <c r="AS175" s="64">
        <v>1</v>
      </c>
      <c r="AT175" s="64">
        <v>1</v>
      </c>
      <c r="AU175" s="64">
        <f>VLOOKUP(Tabla25[[#This Row],[Esport]],Tabla2[],2,FALSE)</f>
        <v>14</v>
      </c>
      <c r="AV175" s="99">
        <f>3-Tabla25[[#This Row],[Nivell categoria]]</f>
        <v>2</v>
      </c>
      <c r="AW175" s="64">
        <f>Tabla25[[#This Row],[Pax]]+Tabla25[[#This Row],[Pax addicional cat.]]</f>
        <v>16</v>
      </c>
    </row>
    <row r="176" spans="17:49" x14ac:dyDescent="0.25">
      <c r="Q176" s="30"/>
      <c r="X176" s="31"/>
      <c r="Z176" s="30"/>
      <c r="AC176" s="5"/>
      <c r="AD176" s="30"/>
      <c r="AL176" s="62" t="s">
        <v>144</v>
      </c>
      <c r="AM176" s="62" t="s">
        <v>98</v>
      </c>
      <c r="AN176" s="62" t="str">
        <f>Tabla25[[#This Row],[Esport i sexe]] &amp; " - " &amp; Tabla25[[#This Row],[Categoria]]</f>
        <v>WATERPOLO MASCULÍ - Primera divisió</v>
      </c>
      <c r="AO176" s="62" t="s">
        <v>20</v>
      </c>
      <c r="AP176" s="64">
        <v>2</v>
      </c>
      <c r="AQ176" s="71">
        <f>1-(0.25* (Tabla25[[#This Row],[Nivell categoria]]-1))</f>
        <v>0.75</v>
      </c>
      <c r="AR176" s="64">
        <v>1</v>
      </c>
      <c r="AS176" s="64">
        <v>1</v>
      </c>
      <c r="AT176" s="64">
        <v>1</v>
      </c>
      <c r="AU176" s="64">
        <f>VLOOKUP(Tabla25[[#This Row],[Esport]],Tabla2[],2,FALSE)</f>
        <v>14</v>
      </c>
      <c r="AV176" s="99">
        <f>3-Tabla25[[#This Row],[Nivell categoria]]</f>
        <v>1</v>
      </c>
      <c r="AW176" s="64">
        <f>Tabla25[[#This Row],[Pax]]+Tabla25[[#This Row],[Pax addicional cat.]]</f>
        <v>15</v>
      </c>
    </row>
    <row r="177" spans="17:49" x14ac:dyDescent="0.25">
      <c r="Q177" s="30"/>
      <c r="X177" s="31"/>
      <c r="Z177" s="30"/>
      <c r="AC177" s="5"/>
      <c r="AD177" s="30"/>
      <c r="AL177" s="62" t="s">
        <v>144</v>
      </c>
      <c r="AM177" s="62" t="s">
        <v>99</v>
      </c>
      <c r="AN177" s="62" t="str">
        <f>Tabla25[[#This Row],[Esport i sexe]] &amp; " - " &amp; Tabla25[[#This Row],[Categoria]]</f>
        <v>WATERPOLO MASCULÍ - Segona divisió</v>
      </c>
      <c r="AO177" s="62" t="s">
        <v>20</v>
      </c>
      <c r="AP177" s="64">
        <v>3</v>
      </c>
      <c r="AQ177" s="71">
        <f>1-(0.25* (Tabla25[[#This Row],[Nivell categoria]]-1))</f>
        <v>0.5</v>
      </c>
      <c r="AR177" s="64">
        <v>1</v>
      </c>
      <c r="AS177" s="64">
        <v>1</v>
      </c>
      <c r="AT177" s="64">
        <v>1</v>
      </c>
      <c r="AU177" s="64">
        <f>VLOOKUP(Tabla25[[#This Row],[Esport]],Tabla2[],2,FALSE)</f>
        <v>14</v>
      </c>
      <c r="AV177" s="99">
        <f>3-Tabla25[[#This Row],[Nivell categoria]]</f>
        <v>0</v>
      </c>
      <c r="AW177" s="64">
        <f>Tabla25[[#This Row],[Pax]]+Tabla25[[#This Row],[Pax addicional cat.]]</f>
        <v>14</v>
      </c>
    </row>
    <row r="178" spans="17:49" x14ac:dyDescent="0.25">
      <c r="Q178" s="30"/>
      <c r="X178" s="31"/>
      <c r="Z178" s="30"/>
      <c r="AC178" s="5"/>
      <c r="AD178" s="30"/>
      <c r="AT178" s="5"/>
      <c r="AW178" s="31"/>
    </row>
    <row r="179" spans="17:49" x14ac:dyDescent="0.25">
      <c r="Q179" s="30"/>
      <c r="X179" s="31"/>
      <c r="Z179" s="30"/>
      <c r="AC179" s="5"/>
      <c r="AD179" s="30"/>
      <c r="AT179" s="5"/>
      <c r="AW179" s="31"/>
    </row>
    <row r="180" spans="17:49" x14ac:dyDescent="0.25">
      <c r="Q180" s="30"/>
      <c r="X180" s="31"/>
      <c r="Z180" s="30"/>
      <c r="AC180" s="5"/>
      <c r="AD180" s="30"/>
      <c r="AT180" s="5"/>
      <c r="AW180" s="31"/>
    </row>
    <row r="181" spans="17:49" x14ac:dyDescent="0.25">
      <c r="Q181" s="30"/>
      <c r="X181" s="31"/>
      <c r="Z181" s="30"/>
      <c r="AC181" s="5"/>
      <c r="AD181" s="30"/>
      <c r="AT181" s="5"/>
      <c r="AW181" s="31"/>
    </row>
    <row r="182" spans="17:49" x14ac:dyDescent="0.25">
      <c r="Q182" s="30"/>
      <c r="X182" s="31"/>
      <c r="Z182" s="30"/>
      <c r="AC182" s="5"/>
      <c r="AD182" s="30"/>
      <c r="AT182" s="5"/>
      <c r="AW182" s="31"/>
    </row>
    <row r="183" spans="17:49" x14ac:dyDescent="0.25">
      <c r="Q183" s="30"/>
      <c r="X183" s="31"/>
      <c r="Z183" s="30"/>
      <c r="AC183" s="5"/>
      <c r="AD183" s="30"/>
      <c r="AT183" s="5"/>
      <c r="AW183" s="31"/>
    </row>
    <row r="184" spans="17:49" x14ac:dyDescent="0.25">
      <c r="Q184" s="30"/>
      <c r="X184" s="31"/>
      <c r="Z184" s="30"/>
      <c r="AC184" s="5"/>
      <c r="AD184" s="30"/>
      <c r="AT184" s="5"/>
      <c r="AW184" s="31"/>
    </row>
    <row r="185" spans="17:49" x14ac:dyDescent="0.25">
      <c r="Q185" s="30"/>
      <c r="X185" s="31"/>
      <c r="Z185" s="30"/>
      <c r="AC185" s="5"/>
      <c r="AD185" s="30"/>
      <c r="AT185" s="5"/>
      <c r="AW185" s="31"/>
    </row>
    <row r="186" spans="17:49" x14ac:dyDescent="0.25">
      <c r="Q186" s="30"/>
      <c r="X186" s="31"/>
      <c r="Z186" s="30"/>
      <c r="AC186" s="5"/>
      <c r="AD186" s="30"/>
      <c r="AT186" s="5"/>
      <c r="AW186" s="31"/>
    </row>
    <row r="187" spans="17:49" x14ac:dyDescent="0.25">
      <c r="Q187" s="30"/>
      <c r="X187" s="31"/>
      <c r="Z187" s="30"/>
      <c r="AC187" s="5"/>
      <c r="AD187" s="30"/>
      <c r="AT187" s="5"/>
      <c r="AW187" s="31"/>
    </row>
    <row r="188" spans="17:49" x14ac:dyDescent="0.25">
      <c r="Q188" s="30"/>
      <c r="X188" s="31"/>
      <c r="Z188" s="30"/>
      <c r="AC188" s="5"/>
      <c r="AD188" s="30"/>
      <c r="AT188" s="5"/>
      <c r="AW188" s="31"/>
    </row>
    <row r="189" spans="17:49" x14ac:dyDescent="0.25">
      <c r="Q189" s="30"/>
      <c r="X189" s="31"/>
      <c r="Z189" s="30"/>
      <c r="AC189" s="5"/>
      <c r="AD189" s="30"/>
      <c r="AT189" s="5"/>
      <c r="AW189" s="31"/>
    </row>
    <row r="190" spans="17:49" x14ac:dyDescent="0.25">
      <c r="Q190" s="30"/>
      <c r="X190" s="31"/>
      <c r="Z190" s="30"/>
      <c r="AC190" s="5"/>
      <c r="AD190" s="30"/>
      <c r="AT190" s="5"/>
      <c r="AW190" s="31"/>
    </row>
    <row r="191" spans="17:49" x14ac:dyDescent="0.25">
      <c r="Q191" s="30"/>
      <c r="X191" s="31"/>
      <c r="Z191" s="30"/>
      <c r="AC191" s="5"/>
      <c r="AD191" s="30"/>
      <c r="AT191" s="5"/>
      <c r="AW191" s="31"/>
    </row>
    <row r="192" spans="17:49" x14ac:dyDescent="0.25">
      <c r="Q192" s="30"/>
      <c r="X192" s="31"/>
      <c r="Z192" s="30"/>
      <c r="AC192" s="5"/>
      <c r="AD192" s="30"/>
      <c r="AT192" s="5"/>
      <c r="AW192" s="31"/>
    </row>
    <row r="193" spans="17:49" x14ac:dyDescent="0.25">
      <c r="Q193" s="30"/>
      <c r="X193" s="31"/>
      <c r="Z193" s="30"/>
      <c r="AC193" s="5"/>
      <c r="AD193" s="30"/>
      <c r="AT193" s="5"/>
      <c r="AW193" s="31"/>
    </row>
    <row r="194" spans="17:49" x14ac:dyDescent="0.25">
      <c r="Q194" s="30"/>
      <c r="X194" s="31"/>
      <c r="Z194" s="30"/>
      <c r="AC194" s="5"/>
      <c r="AD194" s="30"/>
      <c r="AT194" s="5"/>
      <c r="AW194" s="31"/>
    </row>
    <row r="195" spans="17:49" x14ac:dyDescent="0.25">
      <c r="Q195" s="30"/>
      <c r="X195" s="31"/>
      <c r="Z195" s="30"/>
      <c r="AC195" s="5"/>
      <c r="AD195" s="30"/>
      <c r="AT195" s="5"/>
      <c r="AW195" s="31"/>
    </row>
    <row r="196" spans="17:49" x14ac:dyDescent="0.25">
      <c r="Q196" s="30"/>
      <c r="X196" s="31"/>
      <c r="Z196" s="30"/>
      <c r="AC196" s="5"/>
      <c r="AD196" s="30"/>
      <c r="AT196" s="5"/>
      <c r="AW196" s="31"/>
    </row>
    <row r="197" spans="17:49" x14ac:dyDescent="0.25">
      <c r="Q197" s="30"/>
      <c r="X197" s="31"/>
      <c r="Z197" s="30"/>
      <c r="AC197" s="5"/>
      <c r="AD197" s="30"/>
      <c r="AT197" s="5"/>
      <c r="AW197" s="31"/>
    </row>
    <row r="198" spans="17:49" x14ac:dyDescent="0.25">
      <c r="Q198" s="30"/>
      <c r="X198" s="31"/>
      <c r="Z198" s="30"/>
      <c r="AC198" s="5"/>
      <c r="AD198" s="30"/>
      <c r="AT198" s="5"/>
      <c r="AW198" s="31"/>
    </row>
    <row r="199" spans="17:49" x14ac:dyDescent="0.25">
      <c r="Q199" s="30"/>
      <c r="X199" s="31"/>
      <c r="Z199" s="30"/>
      <c r="AC199" s="5"/>
      <c r="AD199" s="30"/>
      <c r="AT199" s="5"/>
      <c r="AW199" s="31"/>
    </row>
    <row r="200" spans="17:49" x14ac:dyDescent="0.25">
      <c r="Q200" s="30"/>
      <c r="X200" s="31"/>
      <c r="Z200" s="30"/>
      <c r="AC200" s="5"/>
      <c r="AD200" s="30"/>
      <c r="AT200" s="5"/>
      <c r="AW200" s="31"/>
    </row>
    <row r="201" spans="17:49" x14ac:dyDescent="0.25">
      <c r="Q201" s="30"/>
      <c r="X201" s="31"/>
      <c r="Z201" s="30"/>
      <c r="AC201" s="5"/>
      <c r="AD201" s="30"/>
      <c r="AT201" s="5"/>
      <c r="AW201" s="31"/>
    </row>
    <row r="202" spans="17:49" x14ac:dyDescent="0.25">
      <c r="Q202" s="30"/>
      <c r="X202" s="31"/>
      <c r="Z202" s="30"/>
      <c r="AC202" s="5"/>
      <c r="AD202" s="30"/>
      <c r="AT202" s="5"/>
      <c r="AW202" s="31"/>
    </row>
    <row r="203" spans="17:49" x14ac:dyDescent="0.25">
      <c r="Q203" s="30"/>
      <c r="X203" s="31"/>
      <c r="Z203" s="30"/>
      <c r="AC203" s="5"/>
      <c r="AD203" s="30"/>
      <c r="AT203" s="5"/>
      <c r="AW203" s="31"/>
    </row>
    <row r="204" spans="17:49" x14ac:dyDescent="0.25">
      <c r="Q204" s="30"/>
      <c r="X204" s="31"/>
      <c r="Z204" s="30"/>
      <c r="AC204" s="5"/>
      <c r="AD204" s="30"/>
      <c r="AT204" s="5"/>
      <c r="AW204" s="31"/>
    </row>
    <row r="205" spans="17:49" x14ac:dyDescent="0.25">
      <c r="Q205" s="30"/>
      <c r="X205" s="31"/>
      <c r="Z205" s="30"/>
      <c r="AC205" s="5"/>
      <c r="AD205" s="30"/>
      <c r="AT205" s="5"/>
      <c r="AW205" s="31"/>
    </row>
    <row r="206" spans="17:49" x14ac:dyDescent="0.25">
      <c r="Q206" s="30"/>
      <c r="X206" s="31"/>
      <c r="Z206" s="30"/>
      <c r="AC206" s="5"/>
      <c r="AD206" s="30"/>
      <c r="AT206" s="5"/>
      <c r="AW206" s="31"/>
    </row>
    <row r="207" spans="17:49" x14ac:dyDescent="0.25">
      <c r="Q207" s="30"/>
      <c r="X207" s="31"/>
      <c r="Z207" s="30"/>
      <c r="AC207" s="5"/>
      <c r="AD207" s="30"/>
      <c r="AT207" s="5"/>
      <c r="AW207" s="31"/>
    </row>
    <row r="208" spans="17:49" x14ac:dyDescent="0.25">
      <c r="Q208" s="30"/>
      <c r="X208" s="31"/>
      <c r="Z208" s="30"/>
      <c r="AC208" s="5"/>
      <c r="AD208" s="30"/>
      <c r="AT208" s="5"/>
      <c r="AW208" s="31"/>
    </row>
    <row r="209" spans="17:49" x14ac:dyDescent="0.25">
      <c r="Q209" s="30"/>
      <c r="X209" s="31"/>
      <c r="Z209" s="30"/>
      <c r="AC209" s="5"/>
      <c r="AD209" s="30"/>
      <c r="AT209" s="5"/>
      <c r="AW209" s="31"/>
    </row>
    <row r="210" spans="17:49" x14ac:dyDescent="0.25">
      <c r="Q210" s="30"/>
      <c r="X210" s="31"/>
      <c r="Z210" s="30"/>
      <c r="AC210" s="5"/>
      <c r="AD210" s="30"/>
      <c r="AT210" s="5"/>
      <c r="AW210" s="31"/>
    </row>
    <row r="211" spans="17:49" x14ac:dyDescent="0.25">
      <c r="Q211" s="30"/>
      <c r="X211" s="31"/>
      <c r="Z211" s="30"/>
      <c r="AC211" s="5"/>
      <c r="AD211" s="30"/>
      <c r="AT211" s="5"/>
      <c r="AW211" s="31"/>
    </row>
    <row r="212" spans="17:49" x14ac:dyDescent="0.25">
      <c r="Q212" s="30"/>
      <c r="X212" s="31"/>
      <c r="Z212" s="30"/>
      <c r="AC212" s="5"/>
      <c r="AD212" s="30"/>
      <c r="AT212" s="5"/>
      <c r="AW212" s="31"/>
    </row>
    <row r="213" spans="17:49" x14ac:dyDescent="0.25">
      <c r="Q213" s="30"/>
      <c r="X213" s="31"/>
      <c r="Z213" s="30"/>
      <c r="AC213" s="5"/>
      <c r="AD213" s="30"/>
      <c r="AT213" s="5"/>
      <c r="AW213" s="31"/>
    </row>
    <row r="214" spans="17:49" x14ac:dyDescent="0.25">
      <c r="Q214" s="30"/>
      <c r="X214" s="31"/>
      <c r="Z214" s="30"/>
      <c r="AC214" s="5"/>
      <c r="AD214" s="30"/>
      <c r="AT214" s="5"/>
      <c r="AW214" s="31"/>
    </row>
    <row r="215" spans="17:49" x14ac:dyDescent="0.25">
      <c r="Q215" s="30"/>
      <c r="X215" s="31"/>
      <c r="Z215" s="30"/>
      <c r="AC215" s="5"/>
      <c r="AD215" s="30"/>
      <c r="AT215" s="5"/>
      <c r="AW215" s="31"/>
    </row>
    <row r="216" spans="17:49" x14ac:dyDescent="0.25">
      <c r="Q216" s="30"/>
      <c r="X216" s="31"/>
      <c r="Z216" s="30"/>
      <c r="AC216" s="5"/>
      <c r="AD216" s="30"/>
      <c r="AT216" s="5"/>
      <c r="AW216" s="31"/>
    </row>
    <row r="217" spans="17:49" x14ac:dyDescent="0.25">
      <c r="Q217" s="30"/>
      <c r="X217" s="31"/>
      <c r="Z217" s="30"/>
      <c r="AC217" s="5"/>
      <c r="AD217" s="30"/>
      <c r="AT217" s="5"/>
      <c r="AW217" s="31"/>
    </row>
    <row r="218" spans="17:49" x14ac:dyDescent="0.25">
      <c r="Q218" s="30"/>
      <c r="X218" s="31"/>
      <c r="Z218" s="30"/>
      <c r="AC218" s="5"/>
      <c r="AD218" s="30"/>
      <c r="AT218" s="5"/>
      <c r="AW218" s="31"/>
    </row>
    <row r="219" spans="17:49" x14ac:dyDescent="0.25">
      <c r="Q219" s="30"/>
      <c r="X219" s="31"/>
      <c r="Z219" s="30"/>
      <c r="AC219" s="5"/>
      <c r="AD219" s="30"/>
      <c r="AT219" s="5"/>
      <c r="AW219" s="31"/>
    </row>
    <row r="220" spans="17:49" x14ac:dyDescent="0.25">
      <c r="Q220" s="30"/>
      <c r="X220" s="31"/>
      <c r="Z220" s="30"/>
      <c r="AC220" s="5"/>
      <c r="AD220" s="30"/>
      <c r="AT220" s="5"/>
      <c r="AW220" s="31"/>
    </row>
    <row r="221" spans="17:49" x14ac:dyDescent="0.25">
      <c r="Q221" s="30"/>
      <c r="X221" s="31"/>
      <c r="Z221" s="30"/>
      <c r="AC221" s="5"/>
      <c r="AD221" s="30"/>
      <c r="AT221" s="5"/>
      <c r="AW221" s="31"/>
    </row>
    <row r="222" spans="17:49" x14ac:dyDescent="0.25">
      <c r="Q222" s="30"/>
      <c r="X222" s="31"/>
      <c r="Z222" s="30"/>
      <c r="AC222" s="5"/>
      <c r="AD222" s="30"/>
      <c r="AT222" s="5"/>
      <c r="AW222" s="31"/>
    </row>
    <row r="223" spans="17:49" x14ac:dyDescent="0.25">
      <c r="Q223" s="30"/>
      <c r="X223" s="31"/>
      <c r="Z223" s="30"/>
      <c r="AC223" s="5"/>
      <c r="AD223" s="30"/>
      <c r="AT223" s="5"/>
      <c r="AW223" s="31"/>
    </row>
    <row r="224" spans="17:49" x14ac:dyDescent="0.25">
      <c r="Q224" s="30"/>
      <c r="X224" s="31"/>
      <c r="Z224" s="30"/>
      <c r="AC224" s="5"/>
      <c r="AD224" s="30"/>
      <c r="AT224" s="5"/>
      <c r="AW224" s="31"/>
    </row>
    <row r="225" spans="17:49" x14ac:dyDescent="0.25">
      <c r="Q225" s="30"/>
      <c r="X225" s="31"/>
      <c r="Z225" s="30"/>
      <c r="AC225" s="5"/>
      <c r="AD225" s="30"/>
      <c r="AT225" s="5"/>
      <c r="AW225" s="31"/>
    </row>
    <row r="226" spans="17:49" x14ac:dyDescent="0.25">
      <c r="Q226" s="30"/>
      <c r="X226" s="31"/>
      <c r="Z226" s="30"/>
      <c r="AC226" s="5"/>
      <c r="AD226" s="30"/>
      <c r="AT226" s="5"/>
      <c r="AW226" s="31"/>
    </row>
    <row r="227" spans="17:49" x14ac:dyDescent="0.25">
      <c r="Q227" s="30"/>
      <c r="X227" s="31"/>
      <c r="Z227" s="30"/>
      <c r="AC227" s="5"/>
      <c r="AD227" s="30"/>
      <c r="AT227" s="5"/>
      <c r="AW227" s="31"/>
    </row>
    <row r="228" spans="17:49" x14ac:dyDescent="0.25">
      <c r="Q228" s="30"/>
      <c r="X228" s="31"/>
      <c r="Z228" s="30"/>
      <c r="AC228" s="5"/>
      <c r="AD228" s="30"/>
      <c r="AT228" s="5"/>
      <c r="AW228" s="31"/>
    </row>
    <row r="229" spans="17:49" x14ac:dyDescent="0.25">
      <c r="Q229" s="30"/>
      <c r="X229" s="31"/>
      <c r="Z229" s="30"/>
      <c r="AC229" s="5"/>
      <c r="AD229" s="30"/>
      <c r="AT229" s="5"/>
      <c r="AW229" s="31"/>
    </row>
    <row r="230" spans="17:49" x14ac:dyDescent="0.25">
      <c r="Q230" s="30"/>
      <c r="X230" s="31"/>
      <c r="Z230" s="30"/>
      <c r="AC230" s="5"/>
      <c r="AD230" s="30"/>
      <c r="AT230" s="5"/>
      <c r="AW230" s="31"/>
    </row>
    <row r="231" spans="17:49" x14ac:dyDescent="0.25">
      <c r="Q231" s="30"/>
      <c r="X231" s="31"/>
      <c r="Z231" s="30"/>
      <c r="AC231" s="5"/>
      <c r="AD231" s="30"/>
      <c r="AT231" s="5"/>
      <c r="AW231" s="31"/>
    </row>
    <row r="232" spans="17:49" x14ac:dyDescent="0.25">
      <c r="Q232" s="30"/>
      <c r="X232" s="31"/>
      <c r="Z232" s="30"/>
      <c r="AC232" s="5"/>
      <c r="AD232" s="30"/>
      <c r="AT232" s="5"/>
      <c r="AW232" s="31"/>
    </row>
    <row r="233" spans="17:49" x14ac:dyDescent="0.25">
      <c r="Q233" s="30"/>
      <c r="X233" s="31"/>
      <c r="Z233" s="30"/>
      <c r="AC233" s="5"/>
      <c r="AD233" s="30"/>
      <c r="AT233" s="5"/>
      <c r="AW233" s="31"/>
    </row>
    <row r="234" spans="17:49" x14ac:dyDescent="0.25">
      <c r="Q234" s="30"/>
      <c r="X234" s="31"/>
      <c r="Z234" s="30"/>
      <c r="AC234" s="5"/>
      <c r="AD234" s="30"/>
      <c r="AT234" s="5"/>
      <c r="AW234" s="31"/>
    </row>
    <row r="235" spans="17:49" x14ac:dyDescent="0.25">
      <c r="Q235" s="30"/>
      <c r="X235" s="31"/>
      <c r="Z235" s="30"/>
      <c r="AC235" s="5"/>
      <c r="AD235" s="30"/>
      <c r="AT235" s="5"/>
      <c r="AW235" s="31"/>
    </row>
    <row r="236" spans="17:49" x14ac:dyDescent="0.25">
      <c r="Q236" s="30"/>
      <c r="X236" s="31"/>
      <c r="Z236" s="30"/>
      <c r="AC236" s="5"/>
      <c r="AD236" s="30"/>
      <c r="AT236" s="5"/>
      <c r="AW236" s="31"/>
    </row>
    <row r="237" spans="17:49" x14ac:dyDescent="0.25">
      <c r="Q237" s="30"/>
      <c r="X237" s="31"/>
      <c r="Z237" s="30"/>
      <c r="AC237" s="5"/>
      <c r="AD237" s="30"/>
      <c r="AT237" s="5"/>
      <c r="AW237" s="31"/>
    </row>
    <row r="238" spans="17:49" x14ac:dyDescent="0.25">
      <c r="Q238" s="30"/>
      <c r="X238" s="31"/>
      <c r="Z238" s="30"/>
      <c r="AC238" s="5"/>
      <c r="AD238" s="30"/>
      <c r="AT238" s="5"/>
      <c r="AW238" s="31"/>
    </row>
    <row r="239" spans="17:49" x14ac:dyDescent="0.25">
      <c r="Q239" s="30"/>
      <c r="X239" s="31"/>
      <c r="Z239" s="30"/>
      <c r="AC239" s="5"/>
      <c r="AD239" s="30"/>
      <c r="AT239" s="5"/>
      <c r="AW239" s="31"/>
    </row>
    <row r="240" spans="17:49" x14ac:dyDescent="0.25">
      <c r="Q240" s="30"/>
      <c r="X240" s="31"/>
      <c r="Z240" s="30"/>
      <c r="AC240" s="5"/>
      <c r="AD240" s="30"/>
      <c r="AT240" s="5"/>
      <c r="AW240" s="31"/>
    </row>
    <row r="241" spans="17:49" x14ac:dyDescent="0.25">
      <c r="Q241" s="30"/>
      <c r="X241" s="31"/>
      <c r="Z241" s="30"/>
      <c r="AC241" s="5"/>
      <c r="AD241" s="30"/>
      <c r="AT241" s="5"/>
      <c r="AW241" s="31"/>
    </row>
    <row r="242" spans="17:49" x14ac:dyDescent="0.25">
      <c r="Q242" s="30"/>
      <c r="X242" s="31"/>
      <c r="Z242" s="30"/>
      <c r="AC242" s="5"/>
      <c r="AD242" s="30"/>
      <c r="AT242" s="5"/>
      <c r="AW242" s="31"/>
    </row>
    <row r="243" spans="17:49" x14ac:dyDescent="0.25">
      <c r="Q243" s="30"/>
      <c r="X243" s="31"/>
      <c r="Z243" s="30"/>
      <c r="AC243" s="5"/>
      <c r="AD243" s="30"/>
      <c r="AT243" s="5"/>
      <c r="AW243" s="31"/>
    </row>
    <row r="244" spans="17:49" x14ac:dyDescent="0.25">
      <c r="Q244" s="30"/>
      <c r="X244" s="31"/>
      <c r="Z244" s="30"/>
      <c r="AC244" s="5"/>
      <c r="AD244" s="30"/>
      <c r="AT244" s="5"/>
      <c r="AW244" s="31"/>
    </row>
    <row r="245" spans="17:49" x14ac:dyDescent="0.25">
      <c r="Q245" s="30"/>
      <c r="X245" s="31"/>
      <c r="Z245" s="30"/>
      <c r="AC245" s="5"/>
      <c r="AD245" s="30"/>
      <c r="AT245" s="5"/>
      <c r="AW245" s="31"/>
    </row>
    <row r="246" spans="17:49" x14ac:dyDescent="0.25">
      <c r="Q246" s="30"/>
      <c r="X246" s="31"/>
      <c r="Z246" s="30"/>
      <c r="AC246" s="5"/>
      <c r="AD246" s="30"/>
      <c r="AT246" s="5"/>
      <c r="AW246" s="31"/>
    </row>
    <row r="247" spans="17:49" x14ac:dyDescent="0.25">
      <c r="Q247" s="30"/>
      <c r="X247" s="31"/>
      <c r="Z247" s="30"/>
      <c r="AC247" s="5"/>
      <c r="AD247" s="30"/>
      <c r="AT247" s="5"/>
      <c r="AW247" s="31"/>
    </row>
    <row r="248" spans="17:49" x14ac:dyDescent="0.25">
      <c r="Q248" s="30"/>
      <c r="X248" s="31"/>
      <c r="Z248" s="30"/>
      <c r="AC248" s="5"/>
      <c r="AD248" s="30"/>
      <c r="AT248" s="5"/>
      <c r="AW248" s="31"/>
    </row>
    <row r="249" spans="17:49" x14ac:dyDescent="0.25">
      <c r="Q249" s="30"/>
      <c r="X249" s="31"/>
      <c r="Z249" s="30"/>
      <c r="AC249" s="5"/>
      <c r="AD249" s="30"/>
      <c r="AT249" s="5"/>
      <c r="AW249" s="31"/>
    </row>
    <row r="250" spans="17:49" x14ac:dyDescent="0.25">
      <c r="Q250" s="30"/>
      <c r="X250" s="31"/>
      <c r="Z250" s="30"/>
      <c r="AC250" s="5"/>
      <c r="AD250" s="30"/>
      <c r="AT250" s="5"/>
      <c r="AW250" s="31"/>
    </row>
    <row r="251" spans="17:49" x14ac:dyDescent="0.25">
      <c r="Q251" s="30"/>
      <c r="X251" s="31"/>
      <c r="Z251" s="30"/>
      <c r="AC251" s="5"/>
      <c r="AD251" s="30"/>
      <c r="AT251" s="5"/>
      <c r="AW251" s="31"/>
    </row>
    <row r="252" spans="17:49" x14ac:dyDescent="0.25">
      <c r="Q252" s="30"/>
      <c r="X252" s="31"/>
      <c r="Z252" s="30"/>
      <c r="AC252" s="5"/>
      <c r="AD252" s="30"/>
      <c r="AT252" s="5"/>
      <c r="AW252" s="31"/>
    </row>
    <row r="253" spans="17:49" x14ac:dyDescent="0.25">
      <c r="Q253" s="30"/>
      <c r="X253" s="31"/>
      <c r="Z253" s="30"/>
      <c r="AC253" s="5"/>
      <c r="AD253" s="30"/>
      <c r="AT253" s="5"/>
      <c r="AW253" s="31"/>
    </row>
    <row r="254" spans="17:49" x14ac:dyDescent="0.25">
      <c r="Q254" s="30"/>
      <c r="X254" s="31"/>
      <c r="Z254" s="30"/>
      <c r="AC254" s="5"/>
      <c r="AD254" s="30"/>
      <c r="AT254" s="5"/>
      <c r="AW254" s="31"/>
    </row>
    <row r="255" spans="17:49" x14ac:dyDescent="0.25">
      <c r="Q255" s="30"/>
      <c r="X255" s="31"/>
      <c r="Z255" s="30"/>
      <c r="AC255" s="5"/>
      <c r="AD255" s="30"/>
      <c r="AT255" s="5"/>
      <c r="AW255" s="31"/>
    </row>
    <row r="256" spans="17:49" x14ac:dyDescent="0.25">
      <c r="Q256" s="30"/>
      <c r="X256" s="31"/>
      <c r="Z256" s="30"/>
      <c r="AC256" s="5"/>
      <c r="AD256" s="30"/>
      <c r="AT256" s="5"/>
      <c r="AW256" s="31"/>
    </row>
    <row r="257" spans="17:49" x14ac:dyDescent="0.25">
      <c r="Q257" s="30"/>
      <c r="X257" s="31"/>
      <c r="Z257" s="30"/>
      <c r="AC257" s="5"/>
      <c r="AD257" s="30"/>
      <c r="AT257" s="5"/>
      <c r="AW257" s="31"/>
    </row>
    <row r="258" spans="17:49" x14ac:dyDescent="0.25">
      <c r="Q258" s="30"/>
      <c r="X258" s="31"/>
      <c r="Z258" s="30"/>
      <c r="AC258" s="5"/>
      <c r="AD258" s="30"/>
      <c r="AT258" s="5"/>
      <c r="AW258" s="31"/>
    </row>
    <row r="259" spans="17:49" x14ac:dyDescent="0.25">
      <c r="Q259" s="30"/>
      <c r="X259" s="31"/>
      <c r="Z259" s="30"/>
      <c r="AC259" s="5"/>
      <c r="AD259" s="30"/>
      <c r="AT259" s="5"/>
      <c r="AW259" s="31"/>
    </row>
    <row r="260" spans="17:49" x14ac:dyDescent="0.25">
      <c r="Q260" s="30"/>
      <c r="X260" s="31"/>
      <c r="Z260" s="30"/>
      <c r="AC260" s="5"/>
      <c r="AD260" s="30"/>
      <c r="AT260" s="5"/>
      <c r="AW260" s="31"/>
    </row>
    <row r="261" spans="17:49" x14ac:dyDescent="0.25">
      <c r="Q261" s="30"/>
      <c r="X261" s="31"/>
      <c r="Z261" s="30"/>
      <c r="AC261" s="5"/>
      <c r="AD261" s="30"/>
      <c r="AT261" s="5"/>
      <c r="AW261" s="31"/>
    </row>
    <row r="262" spans="17:49" x14ac:dyDescent="0.25">
      <c r="Q262" s="30"/>
      <c r="X262" s="31"/>
      <c r="Z262" s="30"/>
      <c r="AC262" s="5"/>
      <c r="AD262" s="30"/>
      <c r="AT262" s="5"/>
      <c r="AW262" s="31"/>
    </row>
    <row r="263" spans="17:49" x14ac:dyDescent="0.25">
      <c r="Q263" s="30"/>
      <c r="X263" s="31"/>
      <c r="Z263" s="30"/>
      <c r="AC263" s="5"/>
      <c r="AD263" s="30"/>
      <c r="AT263" s="5"/>
      <c r="AW263" s="31"/>
    </row>
    <row r="264" spans="17:49" x14ac:dyDescent="0.25">
      <c r="Q264" s="30"/>
      <c r="X264" s="31"/>
      <c r="Z264" s="30"/>
      <c r="AC264" s="5"/>
      <c r="AD264" s="30"/>
      <c r="AT264" s="5"/>
      <c r="AW264" s="31"/>
    </row>
    <row r="265" spans="17:49" x14ac:dyDescent="0.25">
      <c r="Q265" s="30"/>
      <c r="X265" s="31"/>
      <c r="Z265" s="30"/>
      <c r="AC265" s="5"/>
      <c r="AD265" s="30"/>
      <c r="AT265" s="5"/>
      <c r="AW265" s="31"/>
    </row>
    <row r="266" spans="17:49" x14ac:dyDescent="0.25">
      <c r="Q266" s="30"/>
      <c r="X266" s="31"/>
      <c r="Z266" s="30"/>
      <c r="AC266" s="5"/>
      <c r="AD266" s="30"/>
      <c r="AT266" s="5"/>
      <c r="AW266" s="31"/>
    </row>
    <row r="267" spans="17:49" x14ac:dyDescent="0.25">
      <c r="Q267" s="30"/>
      <c r="X267" s="31"/>
      <c r="Z267" s="30"/>
      <c r="AC267" s="5"/>
      <c r="AD267" s="30"/>
      <c r="AT267" s="5"/>
      <c r="AW267" s="31"/>
    </row>
    <row r="268" spans="17:49" x14ac:dyDescent="0.25">
      <c r="Q268" s="30"/>
      <c r="X268" s="31"/>
      <c r="Z268" s="30"/>
      <c r="AC268" s="5"/>
      <c r="AD268" s="30"/>
      <c r="AT268" s="5"/>
      <c r="AW268" s="31"/>
    </row>
    <row r="269" spans="17:49" x14ac:dyDescent="0.25">
      <c r="Q269" s="30"/>
      <c r="X269" s="31"/>
      <c r="Z269" s="30"/>
      <c r="AC269" s="5"/>
      <c r="AD269" s="30"/>
      <c r="AT269" s="5"/>
      <c r="AW269" s="31"/>
    </row>
    <row r="270" spans="17:49" x14ac:dyDescent="0.25">
      <c r="Q270" s="30"/>
      <c r="X270" s="31"/>
      <c r="Z270" s="30"/>
      <c r="AC270" s="5"/>
      <c r="AD270" s="30"/>
      <c r="AT270" s="5"/>
      <c r="AW270" s="31"/>
    </row>
    <row r="271" spans="17:49" x14ac:dyDescent="0.25">
      <c r="Q271" s="30"/>
      <c r="X271" s="31"/>
      <c r="Z271" s="30"/>
      <c r="AC271" s="5"/>
      <c r="AD271" s="30"/>
      <c r="AT271" s="5"/>
      <c r="AW271" s="31"/>
    </row>
    <row r="272" spans="17:49" x14ac:dyDescent="0.25">
      <c r="Q272" s="30"/>
      <c r="X272" s="31"/>
      <c r="Z272" s="30"/>
      <c r="AC272" s="5"/>
      <c r="AD272" s="30"/>
      <c r="AT272" s="5"/>
      <c r="AW272" s="31"/>
    </row>
    <row r="273" spans="17:49" x14ac:dyDescent="0.25">
      <c r="Q273" s="30"/>
      <c r="X273" s="31"/>
      <c r="Z273" s="30"/>
      <c r="AC273" s="5"/>
      <c r="AD273" s="30"/>
      <c r="AT273" s="5"/>
      <c r="AW273" s="31"/>
    </row>
    <row r="274" spans="17:49" x14ac:dyDescent="0.25">
      <c r="Q274" s="30"/>
      <c r="X274" s="31"/>
      <c r="Z274" s="30"/>
      <c r="AC274" s="5"/>
      <c r="AD274" s="30"/>
      <c r="AT274" s="5"/>
      <c r="AW274" s="31"/>
    </row>
    <row r="275" spans="17:49" x14ac:dyDescent="0.25">
      <c r="Q275" s="30"/>
      <c r="X275" s="31"/>
      <c r="Z275" s="30"/>
      <c r="AC275" s="5"/>
      <c r="AD275" s="30"/>
      <c r="AT275" s="5"/>
      <c r="AW275" s="31"/>
    </row>
    <row r="276" spans="17:49" x14ac:dyDescent="0.25">
      <c r="Q276" s="30"/>
      <c r="X276" s="31"/>
      <c r="Z276" s="30"/>
      <c r="AC276" s="5"/>
      <c r="AD276" s="30"/>
      <c r="AT276" s="5"/>
      <c r="AW276" s="31"/>
    </row>
    <row r="277" spans="17:49" x14ac:dyDescent="0.25">
      <c r="Q277" s="30"/>
      <c r="X277" s="31"/>
      <c r="Z277" s="30"/>
      <c r="AC277" s="5"/>
      <c r="AD277" s="30"/>
      <c r="AT277" s="5"/>
      <c r="AW277" s="31"/>
    </row>
    <row r="278" spans="17:49" x14ac:dyDescent="0.25">
      <c r="Q278" s="30"/>
      <c r="X278" s="31"/>
      <c r="Z278" s="30"/>
      <c r="AC278" s="5"/>
      <c r="AD278" s="30"/>
      <c r="AT278" s="5"/>
      <c r="AW278" s="31"/>
    </row>
    <row r="279" spans="17:49" x14ac:dyDescent="0.25">
      <c r="Q279" s="30"/>
      <c r="X279" s="31"/>
      <c r="Z279" s="30"/>
      <c r="AC279" s="5"/>
      <c r="AD279" s="30"/>
      <c r="AT279" s="5"/>
      <c r="AW279" s="31"/>
    </row>
    <row r="280" spans="17:49" x14ac:dyDescent="0.25">
      <c r="Q280" s="30"/>
      <c r="X280" s="31"/>
      <c r="Z280" s="30"/>
      <c r="AC280" s="5"/>
      <c r="AD280" s="30"/>
      <c r="AT280" s="5"/>
      <c r="AW280" s="31"/>
    </row>
    <row r="281" spans="17:49" x14ac:dyDescent="0.25">
      <c r="Q281" s="30"/>
      <c r="X281" s="31"/>
      <c r="Z281" s="30"/>
      <c r="AC281" s="5"/>
      <c r="AD281" s="30"/>
      <c r="AT281" s="5"/>
      <c r="AW281" s="31"/>
    </row>
    <row r="282" spans="17:49" x14ac:dyDescent="0.25">
      <c r="Q282" s="30"/>
      <c r="X282" s="31"/>
      <c r="Z282" s="30"/>
      <c r="AC282" s="5"/>
      <c r="AD282" s="30"/>
      <c r="AT282" s="5"/>
      <c r="AW282" s="31"/>
    </row>
    <row r="283" spans="17:49" x14ac:dyDescent="0.25">
      <c r="Q283" s="30"/>
      <c r="X283" s="31"/>
      <c r="Z283" s="30"/>
      <c r="AC283" s="5"/>
      <c r="AD283" s="30"/>
      <c r="AT283" s="5"/>
      <c r="AW283" s="31"/>
    </row>
    <row r="284" spans="17:49" x14ac:dyDescent="0.25">
      <c r="Q284" s="30"/>
      <c r="X284" s="31"/>
      <c r="Z284" s="30"/>
      <c r="AC284" s="5"/>
      <c r="AD284" s="30"/>
      <c r="AT284" s="5"/>
      <c r="AW284" s="31"/>
    </row>
    <row r="285" spans="17:49" x14ac:dyDescent="0.25">
      <c r="Q285" s="30"/>
      <c r="X285" s="31"/>
      <c r="Z285" s="30"/>
      <c r="AC285" s="5"/>
      <c r="AD285" s="30"/>
      <c r="AT285" s="5"/>
      <c r="AW285" s="31"/>
    </row>
    <row r="286" spans="17:49" x14ac:dyDescent="0.25">
      <c r="Q286" s="30"/>
      <c r="X286" s="31"/>
      <c r="Z286" s="30"/>
      <c r="AC286" s="5"/>
      <c r="AD286" s="30"/>
      <c r="AT286" s="5"/>
      <c r="AW286" s="31"/>
    </row>
    <row r="287" spans="17:49" x14ac:dyDescent="0.25">
      <c r="Q287" s="30"/>
      <c r="X287" s="31"/>
      <c r="Z287" s="30"/>
      <c r="AC287" s="5"/>
      <c r="AD287" s="30"/>
      <c r="AT287" s="5"/>
      <c r="AW287" s="31"/>
    </row>
    <row r="288" spans="17:49" x14ac:dyDescent="0.25">
      <c r="Q288" s="30"/>
      <c r="X288" s="31"/>
      <c r="Z288" s="30"/>
      <c r="AC288" s="5"/>
      <c r="AD288" s="30"/>
      <c r="AT288" s="5"/>
      <c r="AW288" s="31"/>
    </row>
    <row r="289" spans="17:49" x14ac:dyDescent="0.25">
      <c r="Q289" s="30"/>
      <c r="X289" s="31"/>
      <c r="Z289" s="30"/>
      <c r="AC289" s="5"/>
      <c r="AD289" s="30"/>
      <c r="AT289" s="5"/>
      <c r="AW289" s="31"/>
    </row>
    <row r="290" spans="17:49" x14ac:dyDescent="0.25">
      <c r="Q290" s="30"/>
      <c r="X290" s="31"/>
      <c r="Z290" s="30"/>
      <c r="AC290" s="5"/>
      <c r="AD290" s="30"/>
      <c r="AT290" s="5"/>
      <c r="AW290" s="31"/>
    </row>
    <row r="291" spans="17:49" x14ac:dyDescent="0.25">
      <c r="Q291" s="30"/>
      <c r="X291" s="31"/>
      <c r="Z291" s="30"/>
      <c r="AC291" s="5"/>
      <c r="AD291" s="30"/>
      <c r="AT291" s="5"/>
      <c r="AW291" s="31"/>
    </row>
    <row r="292" spans="17:49" x14ac:dyDescent="0.25">
      <c r="Q292" s="30"/>
      <c r="X292" s="31"/>
      <c r="Z292" s="30"/>
      <c r="AC292" s="5"/>
      <c r="AD292" s="30"/>
      <c r="AT292" s="5"/>
      <c r="AW292" s="31"/>
    </row>
    <row r="293" spans="17:49" x14ac:dyDescent="0.25">
      <c r="Q293" s="30"/>
      <c r="X293" s="31"/>
      <c r="Z293" s="30"/>
      <c r="AC293" s="5"/>
      <c r="AD293" s="30"/>
      <c r="AT293" s="5"/>
      <c r="AW293" s="31"/>
    </row>
    <row r="294" spans="17:49" x14ac:dyDescent="0.25">
      <c r="Q294" s="30"/>
      <c r="X294" s="31"/>
      <c r="Z294" s="30"/>
      <c r="AC294" s="5"/>
      <c r="AD294" s="30"/>
      <c r="AT294" s="5"/>
      <c r="AW294" s="31"/>
    </row>
    <row r="295" spans="17:49" x14ac:dyDescent="0.25">
      <c r="Q295" s="30"/>
      <c r="X295" s="31"/>
      <c r="Z295" s="30"/>
      <c r="AC295" s="5"/>
      <c r="AD295" s="30"/>
      <c r="AT295" s="5"/>
      <c r="AW295" s="31"/>
    </row>
    <row r="296" spans="17:49" x14ac:dyDescent="0.25">
      <c r="Q296" s="30"/>
      <c r="X296" s="31"/>
      <c r="Z296" s="30"/>
      <c r="AC296" s="5"/>
      <c r="AD296" s="30"/>
      <c r="AT296" s="5"/>
      <c r="AW296" s="31"/>
    </row>
    <row r="297" spans="17:49" x14ac:dyDescent="0.25">
      <c r="Q297" s="30"/>
      <c r="X297" s="31"/>
      <c r="Z297" s="30"/>
      <c r="AC297" s="5"/>
      <c r="AD297" s="30"/>
      <c r="AT297" s="5"/>
      <c r="AW297" s="31"/>
    </row>
    <row r="298" spans="17:49" x14ac:dyDescent="0.25">
      <c r="Q298" s="30"/>
      <c r="X298" s="31"/>
      <c r="Z298" s="30"/>
      <c r="AC298" s="5"/>
      <c r="AD298" s="30"/>
      <c r="AT298" s="5"/>
      <c r="AW298" s="31"/>
    </row>
    <row r="299" spans="17:49" x14ac:dyDescent="0.25">
      <c r="Q299" s="30"/>
      <c r="X299" s="31"/>
      <c r="Z299" s="30"/>
      <c r="AC299" s="5"/>
      <c r="AD299" s="30"/>
      <c r="AT299" s="5"/>
      <c r="AW299" s="31"/>
    </row>
    <row r="300" spans="17:49" x14ac:dyDescent="0.25">
      <c r="Q300" s="30"/>
      <c r="X300" s="31"/>
      <c r="Z300" s="30"/>
      <c r="AC300" s="5"/>
      <c r="AD300" s="30"/>
      <c r="AT300" s="5"/>
      <c r="AW300" s="31"/>
    </row>
    <row r="301" spans="17:49" x14ac:dyDescent="0.25">
      <c r="Q301" s="30"/>
      <c r="X301" s="31"/>
      <c r="Z301" s="30"/>
      <c r="AC301" s="5"/>
      <c r="AD301" s="30"/>
      <c r="AT301" s="5"/>
      <c r="AW301" s="31"/>
    </row>
    <row r="302" spans="17:49" x14ac:dyDescent="0.25">
      <c r="Q302" s="30"/>
      <c r="X302" s="31"/>
      <c r="Z302" s="30"/>
      <c r="AC302" s="5"/>
      <c r="AD302" s="30"/>
      <c r="AT302" s="5"/>
      <c r="AW302" s="31"/>
    </row>
    <row r="303" spans="17:49" x14ac:dyDescent="0.25">
      <c r="Q303" s="30"/>
      <c r="X303" s="31"/>
      <c r="Z303" s="30"/>
      <c r="AC303" s="5"/>
      <c r="AD303" s="30"/>
      <c r="AT303" s="5"/>
      <c r="AW303" s="31"/>
    </row>
    <row r="304" spans="17:49" x14ac:dyDescent="0.25">
      <c r="Q304" s="30"/>
      <c r="X304" s="31"/>
      <c r="Z304" s="30"/>
      <c r="AC304" s="5"/>
      <c r="AD304" s="30"/>
      <c r="AT304" s="5"/>
      <c r="AW304" s="31"/>
    </row>
    <row r="305" spans="17:49" x14ac:dyDescent="0.25">
      <c r="Q305" s="30"/>
      <c r="X305" s="31"/>
      <c r="Z305" s="30"/>
      <c r="AC305" s="5"/>
      <c r="AD305" s="30"/>
      <c r="AT305" s="5"/>
      <c r="AW305" s="31"/>
    </row>
    <row r="306" spans="17:49" x14ac:dyDescent="0.25">
      <c r="Q306" s="30"/>
      <c r="X306" s="31"/>
      <c r="Z306" s="30"/>
      <c r="AC306" s="5"/>
      <c r="AD306" s="30"/>
      <c r="AT306" s="5"/>
      <c r="AW306" s="31"/>
    </row>
    <row r="307" spans="17:49" x14ac:dyDescent="0.25">
      <c r="Q307" s="30"/>
      <c r="X307" s="31"/>
      <c r="Z307" s="30"/>
      <c r="AC307" s="5"/>
      <c r="AD307" s="30"/>
      <c r="AT307" s="5"/>
      <c r="AW307" s="31"/>
    </row>
    <row r="308" spans="17:49" x14ac:dyDescent="0.25">
      <c r="Q308" s="30"/>
      <c r="X308" s="31"/>
      <c r="Z308" s="30"/>
      <c r="AC308" s="5"/>
      <c r="AD308" s="30"/>
      <c r="AT308" s="5"/>
      <c r="AW308" s="31"/>
    </row>
    <row r="309" spans="17:49" x14ac:dyDescent="0.25">
      <c r="Q309" s="30"/>
      <c r="X309" s="31"/>
      <c r="Z309" s="30"/>
      <c r="AC309" s="5"/>
      <c r="AD309" s="30"/>
      <c r="AT309" s="5"/>
      <c r="AW309" s="31"/>
    </row>
    <row r="310" spans="17:49" x14ac:dyDescent="0.25">
      <c r="Q310" s="30"/>
      <c r="X310" s="31"/>
      <c r="Z310" s="30"/>
      <c r="AC310" s="5"/>
      <c r="AD310" s="30"/>
      <c r="AT310" s="5"/>
      <c r="AW310" s="31"/>
    </row>
    <row r="311" spans="17:49" x14ac:dyDescent="0.25">
      <c r="Q311" s="30"/>
      <c r="X311" s="31"/>
      <c r="Z311" s="30"/>
      <c r="AC311" s="5"/>
      <c r="AD311" s="30"/>
      <c r="AT311" s="5"/>
      <c r="AW311" s="31"/>
    </row>
    <row r="312" spans="17:49" x14ac:dyDescent="0.25">
      <c r="Q312" s="30"/>
      <c r="X312" s="31"/>
      <c r="Z312" s="30"/>
      <c r="AC312" s="5"/>
      <c r="AD312" s="30"/>
      <c r="AT312" s="5"/>
      <c r="AW312" s="31"/>
    </row>
    <row r="313" spans="17:49" x14ac:dyDescent="0.25">
      <c r="Q313" s="30"/>
      <c r="X313" s="31"/>
      <c r="Z313" s="30"/>
      <c r="AC313" s="5"/>
      <c r="AD313" s="30"/>
      <c r="AT313" s="5"/>
      <c r="AW313" s="31"/>
    </row>
    <row r="314" spans="17:49" x14ac:dyDescent="0.25">
      <c r="Q314" s="30"/>
      <c r="X314" s="31"/>
      <c r="Z314" s="30"/>
      <c r="AC314" s="5"/>
      <c r="AD314" s="30"/>
      <c r="AT314" s="5"/>
      <c r="AW314" s="31"/>
    </row>
    <row r="315" spans="17:49" x14ac:dyDescent="0.25">
      <c r="Q315" s="30"/>
      <c r="X315" s="31"/>
      <c r="Z315" s="30"/>
      <c r="AC315" s="5"/>
      <c r="AD315" s="30"/>
      <c r="AT315" s="5"/>
      <c r="AW315" s="31"/>
    </row>
    <row r="316" spans="17:49" x14ac:dyDescent="0.25">
      <c r="Q316" s="30"/>
      <c r="X316" s="31"/>
      <c r="Z316" s="30"/>
      <c r="AC316" s="5"/>
      <c r="AD316" s="30"/>
      <c r="AT316" s="5"/>
      <c r="AW316" s="31"/>
    </row>
    <row r="317" spans="17:49" x14ac:dyDescent="0.25">
      <c r="Q317" s="30"/>
      <c r="X317" s="31"/>
      <c r="Z317" s="30"/>
      <c r="AC317" s="5"/>
      <c r="AD317" s="30"/>
      <c r="AT317" s="5"/>
      <c r="AW317" s="31"/>
    </row>
    <row r="318" spans="17:49" x14ac:dyDescent="0.25">
      <c r="Q318" s="30"/>
      <c r="X318" s="31"/>
      <c r="Z318" s="30"/>
      <c r="AC318" s="5"/>
      <c r="AD318" s="30"/>
      <c r="AT318" s="5"/>
      <c r="AW318" s="31"/>
    </row>
    <row r="319" spans="17:49" x14ac:dyDescent="0.25">
      <c r="Q319" s="30"/>
      <c r="X319" s="31"/>
      <c r="Z319" s="30"/>
      <c r="AC319" s="5"/>
      <c r="AD319" s="30"/>
      <c r="AT319" s="5"/>
      <c r="AW319" s="31"/>
    </row>
    <row r="320" spans="17:49" x14ac:dyDescent="0.25">
      <c r="Q320" s="30"/>
      <c r="X320" s="31"/>
      <c r="Z320" s="30"/>
      <c r="AC320" s="5"/>
      <c r="AD320" s="30"/>
      <c r="AT320" s="5"/>
      <c r="AW320" s="31"/>
    </row>
    <row r="321" spans="17:49" x14ac:dyDescent="0.25">
      <c r="Q321" s="30"/>
      <c r="X321" s="31"/>
      <c r="Z321" s="30"/>
      <c r="AC321" s="5"/>
      <c r="AD321" s="30"/>
      <c r="AT321" s="5"/>
      <c r="AW321" s="31"/>
    </row>
    <row r="322" spans="17:49" x14ac:dyDescent="0.25">
      <c r="Q322" s="30"/>
      <c r="X322" s="31"/>
      <c r="Z322" s="30"/>
      <c r="AC322" s="5"/>
      <c r="AD322" s="30"/>
      <c r="AT322" s="5"/>
      <c r="AW322" s="31"/>
    </row>
    <row r="323" spans="17:49" x14ac:dyDescent="0.25">
      <c r="Q323" s="30"/>
      <c r="X323" s="31"/>
      <c r="Z323" s="30"/>
      <c r="AC323" s="5"/>
      <c r="AD323" s="30"/>
      <c r="AT323" s="5"/>
      <c r="AW323" s="31"/>
    </row>
    <row r="324" spans="17:49" x14ac:dyDescent="0.25">
      <c r="Q324" s="30"/>
      <c r="X324" s="31"/>
      <c r="Z324" s="30"/>
      <c r="AC324" s="5"/>
      <c r="AD324" s="30"/>
      <c r="AT324" s="5"/>
      <c r="AW324" s="31"/>
    </row>
    <row r="325" spans="17:49" x14ac:dyDescent="0.25">
      <c r="Q325" s="30"/>
      <c r="X325" s="31"/>
      <c r="Z325" s="30"/>
      <c r="AC325" s="5"/>
      <c r="AD325" s="30"/>
      <c r="AT325" s="5"/>
      <c r="AW325" s="31"/>
    </row>
    <row r="326" spans="17:49" x14ac:dyDescent="0.25">
      <c r="Q326" s="30"/>
      <c r="X326" s="31"/>
      <c r="Z326" s="30"/>
      <c r="AC326" s="5"/>
      <c r="AD326" s="30"/>
      <c r="AT326" s="5"/>
      <c r="AW326" s="31"/>
    </row>
    <row r="327" spans="17:49" x14ac:dyDescent="0.25">
      <c r="Q327" s="30"/>
      <c r="X327" s="31"/>
      <c r="Z327" s="30"/>
      <c r="AC327" s="5"/>
      <c r="AD327" s="30"/>
      <c r="AT327" s="5"/>
      <c r="AW327" s="31"/>
    </row>
    <row r="328" spans="17:49" x14ac:dyDescent="0.25">
      <c r="Q328" s="30"/>
      <c r="X328" s="31"/>
      <c r="Z328" s="30"/>
      <c r="AC328" s="5"/>
      <c r="AD328" s="30"/>
      <c r="AT328" s="5"/>
      <c r="AW328" s="31"/>
    </row>
    <row r="329" spans="17:49" x14ac:dyDescent="0.25">
      <c r="Q329" s="30"/>
      <c r="X329" s="31"/>
      <c r="Z329" s="30"/>
      <c r="AC329" s="5"/>
      <c r="AD329" s="30"/>
      <c r="AT329" s="5"/>
      <c r="AW329" s="31"/>
    </row>
    <row r="330" spans="17:49" x14ac:dyDescent="0.25">
      <c r="Q330" s="30"/>
      <c r="X330" s="31"/>
      <c r="Z330" s="30"/>
      <c r="AC330" s="5"/>
      <c r="AD330" s="30"/>
      <c r="AT330" s="5"/>
      <c r="AW330" s="31"/>
    </row>
    <row r="331" spans="17:49" x14ac:dyDescent="0.25">
      <c r="Q331" s="30"/>
      <c r="X331" s="31"/>
      <c r="Z331" s="30"/>
      <c r="AC331" s="5"/>
      <c r="AD331" s="30"/>
      <c r="AT331" s="5"/>
      <c r="AW331" s="31"/>
    </row>
    <row r="332" spans="17:49" x14ac:dyDescent="0.25">
      <c r="Q332" s="30"/>
      <c r="X332" s="31"/>
      <c r="Z332" s="30"/>
      <c r="AC332" s="5"/>
      <c r="AD332" s="30"/>
      <c r="AT332" s="5"/>
      <c r="AW332" s="31"/>
    </row>
    <row r="333" spans="17:49" x14ac:dyDescent="0.25">
      <c r="Q333" s="30"/>
      <c r="X333" s="31"/>
      <c r="Z333" s="30"/>
      <c r="AC333" s="5"/>
      <c r="AD333" s="30"/>
      <c r="AT333" s="5"/>
      <c r="AW333" s="31"/>
    </row>
    <row r="334" spans="17:49" x14ac:dyDescent="0.25">
      <c r="Q334" s="30"/>
      <c r="X334" s="31"/>
      <c r="Z334" s="30"/>
      <c r="AC334" s="5"/>
      <c r="AD334" s="30"/>
      <c r="AT334" s="5"/>
      <c r="AW334" s="31"/>
    </row>
    <row r="335" spans="17:49" x14ac:dyDescent="0.25">
      <c r="Q335" s="30"/>
      <c r="X335" s="31"/>
      <c r="Z335" s="30"/>
      <c r="AC335" s="5"/>
      <c r="AD335" s="30"/>
      <c r="AT335" s="5"/>
      <c r="AW335" s="31"/>
    </row>
    <row r="336" spans="17:49" x14ac:dyDescent="0.25">
      <c r="Q336" s="30"/>
      <c r="X336" s="31"/>
      <c r="Z336" s="30"/>
      <c r="AC336" s="5"/>
      <c r="AD336" s="30"/>
      <c r="AT336" s="5"/>
      <c r="AW336" s="31"/>
    </row>
    <row r="337" spans="17:49" x14ac:dyDescent="0.25">
      <c r="Q337" s="30"/>
      <c r="X337" s="31"/>
      <c r="Z337" s="30"/>
      <c r="AC337" s="5"/>
      <c r="AD337" s="30"/>
      <c r="AT337" s="5"/>
      <c r="AW337" s="31"/>
    </row>
    <row r="338" spans="17:49" x14ac:dyDescent="0.25">
      <c r="Q338" s="30"/>
      <c r="X338" s="31"/>
      <c r="Z338" s="30"/>
      <c r="AC338" s="5"/>
      <c r="AD338" s="30"/>
      <c r="AT338" s="5"/>
      <c r="AW338" s="31"/>
    </row>
    <row r="339" spans="17:49" x14ac:dyDescent="0.25">
      <c r="AT339" s="5"/>
      <c r="AW339" s="31"/>
    </row>
    <row r="340" spans="17:49" x14ac:dyDescent="0.25">
      <c r="AT340" s="5"/>
      <c r="AW340" s="31"/>
    </row>
    <row r="341" spans="17:49" x14ac:dyDescent="0.25">
      <c r="AT341" s="5"/>
      <c r="AW341" s="31"/>
    </row>
    <row r="342" spans="17:49" x14ac:dyDescent="0.25">
      <c r="AT342" s="5"/>
      <c r="AW342" s="31"/>
    </row>
    <row r="343" spans="17:49" x14ac:dyDescent="0.25">
      <c r="AT343" s="5"/>
      <c r="AW343" s="31"/>
    </row>
    <row r="344" spans="17:49" x14ac:dyDescent="0.25">
      <c r="AT344" s="5"/>
      <c r="AW344" s="31"/>
    </row>
  </sheetData>
  <sheetProtection algorithmName="SHA-512" hashValue="cKKcIYVtSfuvLqMW55QhX3Uq18TRHEsBUsr9VKSPAtwVG5Y1cLZFPek5WFMAFx1btnnSvLJ3BbDuhqYGPJZIFw==" saltValue="UzVavmzbZlPHS3Sc1NjyAw==" spinCount="100000" sheet="1" objects="1" scenarios="1" selectLockedCells="1"/>
  <mergeCells count="4">
    <mergeCell ref="B4:C4"/>
    <mergeCell ref="B6:E6"/>
    <mergeCell ref="B8:C8"/>
    <mergeCell ref="C2:G2"/>
  </mergeCells>
  <phoneticPr fontId="7" type="noConversion"/>
  <conditionalFormatting sqref="A11:A30">
    <cfRule type="containsText" dxfId="5" priority="7" operator="containsText" text="FORA">
      <formula>NOT(ISERROR(SEARCH("FORA",A11)))</formula>
    </cfRule>
    <cfRule type="beginsWith" dxfId="4" priority="8" operator="beginsWith" text="A">
      <formula>LEFT(A11,LEN("A"))="A"</formula>
    </cfRule>
  </conditionalFormatting>
  <conditionalFormatting sqref="G4 J4 G6">
    <cfRule type="containsText" dxfId="3" priority="6" operator="containsText" text="NO">
      <formula>NOT(ISERROR(SEARCH("NO",G4)))</formula>
    </cfRule>
  </conditionalFormatting>
  <conditionalFormatting sqref="J6">
    <cfRule type="containsText" dxfId="2" priority="2" operator="containsText" text="NO">
      <formula>NOT(ISERROR(SEARCH("NO",J6)))</formula>
    </cfRule>
  </conditionalFormatting>
  <conditionalFormatting sqref="J8">
    <cfRule type="containsText" dxfId="1" priority="3" operator="containsText" text="NO">
      <formula>NOT(ISERROR(SEARCH("NO",J8)))</formula>
    </cfRule>
  </conditionalFormatting>
  <conditionalFormatting sqref="AR82:AT177">
    <cfRule type="cellIs" dxfId="0" priority="1" operator="equal">
      <formula>0</formula>
    </cfRule>
  </conditionalFormatting>
  <dataValidations xWindow="538" yWindow="545" count="9">
    <dataValidation type="list" allowBlank="1" showInputMessage="1" showErrorMessage="1" sqref="A11:A30" xr:uid="{00000000-0002-0000-0000-000000000000}">
      <formula1>$AJ$89:$AJ$90</formula1>
    </dataValidation>
    <dataValidation type="whole" allowBlank="1" showErrorMessage="1" promptTitle="Esportistes + 1 tècnic" prompt="Indiqui el nombre de persones que participen a la competició (esportistes + un tècnic). Si es deixa en blanc s'utilitzarà el PAX establert a la taula 2 de la convocatòria." sqref="H11:H30" xr:uid="{00000000-0002-0000-0000-000001000000}">
      <formula1>0</formula1>
      <formula2>50</formula2>
    </dataValidation>
    <dataValidation type="list" allowBlank="1" showErrorMessage="1" promptTitle="Illa origen (LLISTA DESPLEGABLE)" prompt="Indiqui l'illa a on està ubicada la seu de l'equip." sqref="E4" xr:uid="{00000000-0002-0000-0000-000002000000}">
      <formula1>$AJ$82:$AJ$85</formula1>
    </dataValidation>
    <dataValidation type="list" allowBlank="1" showInputMessage="1" showErrorMessage="1" promptTitle="Calcular despl.? (LLISTA DESPL.)" prompt="Si rep ajuda d'una altra entitat per als desplaçaments indiqui NO CALCULAR DESPLAÇAMENTS." sqref="C9" xr:uid="{00000000-0002-0000-0000-000003000000}">
      <formula1>#REF!</formula1>
    </dataValidation>
    <dataValidation type="list" allowBlank="1" showInputMessage="1" showErrorMessage="1" sqref="B8" xr:uid="{00000000-0002-0000-0000-000004000000}">
      <formula1>$AJ$101:$AJ$102</formula1>
    </dataValidation>
    <dataValidation type="list" allowBlank="1" showErrorMessage="1" promptTitle="Destí (LLISTA DESPLEGABLE)" prompt="Seleccioni un aeroport de la llista desplegable (els ports només amb origen a Eivissa)." sqref="G11:G30" xr:uid="{00000000-0002-0000-0000-000006000000}">
      <formula1>$AB$120:$AB$140</formula1>
    </dataValidation>
    <dataValidation type="list" allowBlank="1" showInputMessage="1" showErrorMessage="1" sqref="B6" xr:uid="{00000000-0002-0000-0000-000007000000}">
      <formula1>$AN$82:$AN$177</formula1>
    </dataValidation>
    <dataValidation type="list" allowBlank="1" showInputMessage="1" showErrorMessage="1" sqref="AO82:AO177" xr:uid="{00000000-0002-0000-0000-000008000000}">
      <formula1>$AG$82:$AG$106</formula1>
    </dataValidation>
    <dataValidation type="date" allowBlank="1" showInputMessage="1" showErrorMessage="1" error="Dates permeses entre 1/6/2025 i 31/5/2026" sqref="C11:D30" xr:uid="{F36DF3A2-4546-4E9F-B499-D04798D84C68}">
      <formula1>45809</formula1>
      <formula2>46234</formula2>
    </dataValidation>
  </dataValidations>
  <pageMargins left="0.27559055118110237" right="0.15748031496062992" top="0.59055118110236227" bottom="0.39370078740157483" header="0.31496062992125984" footer="0.31496062992125984"/>
  <pageSetup paperSize="9" scale="42" fitToHeight="2" orientation="landscape" r:id="rId1"/>
  <ignoredErrors>
    <ignoredError sqref="P7" formula="1"/>
  </ignoredErrors>
  <drawing r:id="rId2"/>
  <tableParts count="3"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xWindow="538" yWindow="545" count="1">
        <x14:dataValidation type="list" allowBlank="1" showInputMessage="1" showErrorMessage="1" promptTitle="Factura desplaçament" prompt="Indiqui el número de la factura corresponent a aquest desplaçament, de la llista introduïda a la segona pestanya. Només desplaçaments a la Península, Canáries, Ceuta i Melilla." xr:uid="{6EC14015-326E-4502-AA62-24809B1F73A2}">
          <x14:formula1>
            <xm:f>factures!B$2:B$31</xm:f>
          </x14:formula1>
          <xm:sqref>I11:I30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showGridLines="0" workbookViewId="0">
      <selection activeCell="E2" sqref="E2:E31"/>
    </sheetView>
  </sheetViews>
  <sheetFormatPr baseColWidth="10" defaultColWidth="11.42578125" defaultRowHeight="12.75" x14ac:dyDescent="0.25"/>
  <cols>
    <col min="1" max="1" width="8.7109375" style="35" customWidth="1"/>
    <col min="2" max="2" width="13.28515625" style="5" bestFit="1" customWidth="1"/>
    <col min="3" max="3" width="14.85546875" style="6" bestFit="1" customWidth="1"/>
    <col min="4" max="4" width="25.28515625" style="5" customWidth="1"/>
    <col min="5" max="6" width="18" style="5" customWidth="1"/>
    <col min="7" max="8" width="26.7109375" style="5" customWidth="1"/>
    <col min="9" max="11" width="11.42578125" style="5"/>
    <col min="12" max="12" width="8.28515625" style="5" hidden="1" customWidth="1"/>
    <col min="13" max="16384" width="11.42578125" style="5"/>
  </cols>
  <sheetData>
    <row r="1" spans="1:12" x14ac:dyDescent="0.25">
      <c r="A1" s="36" t="s">
        <v>69</v>
      </c>
      <c r="B1" s="38" t="s">
        <v>190</v>
      </c>
      <c r="C1" s="38" t="s">
        <v>186</v>
      </c>
      <c r="D1" s="37" t="s">
        <v>187</v>
      </c>
      <c r="E1" s="38" t="s">
        <v>67</v>
      </c>
      <c r="F1" s="38" t="s">
        <v>68</v>
      </c>
      <c r="G1" s="38" t="s">
        <v>188</v>
      </c>
      <c r="H1" s="38" t="s">
        <v>3</v>
      </c>
      <c r="L1" s="5" t="s">
        <v>70</v>
      </c>
    </row>
    <row r="2" spans="1:12" ht="30" customHeight="1" x14ac:dyDescent="0.25">
      <c r="A2" s="36">
        <v>1</v>
      </c>
      <c r="B2" s="39"/>
      <c r="C2" s="40"/>
      <c r="D2" s="39"/>
      <c r="E2" s="108"/>
      <c r="F2" s="108"/>
      <c r="G2" s="41"/>
      <c r="H2" s="41"/>
      <c r="L2" s="5" t="s">
        <v>71</v>
      </c>
    </row>
    <row r="3" spans="1:12" ht="30" customHeight="1" x14ac:dyDescent="0.25">
      <c r="A3" s="36">
        <v>2</v>
      </c>
      <c r="B3" s="39"/>
      <c r="C3" s="40"/>
      <c r="D3" s="39"/>
      <c r="E3" s="108"/>
      <c r="F3" s="108"/>
      <c r="G3" s="41"/>
      <c r="H3" s="41"/>
    </row>
    <row r="4" spans="1:12" ht="30" customHeight="1" x14ac:dyDescent="0.25">
      <c r="A4" s="36">
        <v>3</v>
      </c>
      <c r="B4" s="39"/>
      <c r="C4" s="40"/>
      <c r="D4" s="39"/>
      <c r="E4" s="108"/>
      <c r="F4" s="108"/>
      <c r="G4" s="41"/>
      <c r="H4" s="41"/>
    </row>
    <row r="5" spans="1:12" ht="30" customHeight="1" x14ac:dyDescent="0.25">
      <c r="A5" s="36">
        <v>4</v>
      </c>
      <c r="B5" s="39"/>
      <c r="C5" s="40"/>
      <c r="D5" s="39"/>
      <c r="E5" s="108"/>
      <c r="F5" s="108"/>
      <c r="G5" s="41"/>
      <c r="H5" s="41"/>
    </row>
    <row r="6" spans="1:12" ht="30" customHeight="1" x14ac:dyDescent="0.25">
      <c r="A6" s="36">
        <v>5</v>
      </c>
      <c r="B6" s="39"/>
      <c r="C6" s="40"/>
      <c r="D6" s="39"/>
      <c r="E6" s="108"/>
      <c r="F6" s="108"/>
      <c r="G6" s="41"/>
      <c r="H6" s="41"/>
    </row>
    <row r="7" spans="1:12" ht="30" customHeight="1" x14ac:dyDescent="0.25">
      <c r="A7" s="36">
        <v>6</v>
      </c>
      <c r="B7" s="39"/>
      <c r="C7" s="40"/>
      <c r="D7" s="39"/>
      <c r="E7" s="108"/>
      <c r="F7" s="108"/>
      <c r="G7" s="41"/>
      <c r="H7" s="41"/>
    </row>
    <row r="8" spans="1:12" ht="30" customHeight="1" x14ac:dyDescent="0.25">
      <c r="A8" s="36">
        <v>7</v>
      </c>
      <c r="B8" s="39"/>
      <c r="C8" s="40"/>
      <c r="D8" s="39"/>
      <c r="E8" s="108"/>
      <c r="F8" s="108"/>
      <c r="G8" s="41"/>
      <c r="H8" s="41"/>
    </row>
    <row r="9" spans="1:12" ht="30" customHeight="1" x14ac:dyDescent="0.25">
      <c r="A9" s="36">
        <v>8</v>
      </c>
      <c r="B9" s="39"/>
      <c r="C9" s="40"/>
      <c r="D9" s="39"/>
      <c r="E9" s="108"/>
      <c r="F9" s="108"/>
      <c r="G9" s="41"/>
      <c r="H9" s="41"/>
    </row>
    <row r="10" spans="1:12" ht="30" customHeight="1" x14ac:dyDescent="0.25">
      <c r="A10" s="36">
        <v>9</v>
      </c>
      <c r="B10" s="39"/>
      <c r="C10" s="40"/>
      <c r="D10" s="39"/>
      <c r="E10" s="108"/>
      <c r="F10" s="108"/>
      <c r="G10" s="41"/>
      <c r="H10" s="41"/>
    </row>
    <row r="11" spans="1:12" ht="30" customHeight="1" x14ac:dyDescent="0.25">
      <c r="A11" s="36">
        <v>10</v>
      </c>
      <c r="B11" s="39"/>
      <c r="C11" s="40"/>
      <c r="D11" s="39"/>
      <c r="E11" s="108"/>
      <c r="F11" s="108"/>
      <c r="G11" s="41"/>
      <c r="H11" s="41"/>
    </row>
    <row r="12" spans="1:12" ht="30" customHeight="1" x14ac:dyDescent="0.25">
      <c r="A12" s="36">
        <v>11</v>
      </c>
      <c r="B12" s="39"/>
      <c r="C12" s="40"/>
      <c r="D12" s="39"/>
      <c r="E12" s="108"/>
      <c r="F12" s="108"/>
      <c r="G12" s="41"/>
      <c r="H12" s="41"/>
    </row>
    <row r="13" spans="1:12" ht="30" customHeight="1" x14ac:dyDescent="0.25">
      <c r="A13" s="36">
        <v>12</v>
      </c>
      <c r="B13" s="39"/>
      <c r="C13" s="40"/>
      <c r="D13" s="39"/>
      <c r="E13" s="108"/>
      <c r="F13" s="108"/>
      <c r="G13" s="41"/>
      <c r="H13" s="41"/>
    </row>
    <row r="14" spans="1:12" ht="30" customHeight="1" x14ac:dyDescent="0.25">
      <c r="A14" s="36">
        <v>13</v>
      </c>
      <c r="B14" s="39"/>
      <c r="C14" s="40"/>
      <c r="D14" s="39"/>
      <c r="E14" s="108"/>
      <c r="F14" s="108"/>
      <c r="G14" s="41"/>
      <c r="H14" s="41"/>
    </row>
    <row r="15" spans="1:12" ht="30" customHeight="1" x14ac:dyDescent="0.25">
      <c r="A15" s="36">
        <v>14</v>
      </c>
      <c r="B15" s="39"/>
      <c r="C15" s="40"/>
      <c r="D15" s="39"/>
      <c r="E15" s="108"/>
      <c r="F15" s="108"/>
      <c r="G15" s="41"/>
      <c r="H15" s="41"/>
    </row>
    <row r="16" spans="1:12" ht="30" customHeight="1" x14ac:dyDescent="0.25">
      <c r="A16" s="36">
        <v>15</v>
      </c>
      <c r="B16" s="39"/>
      <c r="C16" s="40"/>
      <c r="D16" s="39"/>
      <c r="E16" s="108"/>
      <c r="F16" s="108"/>
      <c r="G16" s="41"/>
      <c r="H16" s="41"/>
    </row>
    <row r="17" spans="1:8" ht="30" customHeight="1" x14ac:dyDescent="0.25">
      <c r="A17" s="36">
        <v>16</v>
      </c>
      <c r="B17" s="39"/>
      <c r="C17" s="40"/>
      <c r="D17" s="39"/>
      <c r="E17" s="108"/>
      <c r="F17" s="108"/>
      <c r="G17" s="41"/>
      <c r="H17" s="41"/>
    </row>
    <row r="18" spans="1:8" ht="30" customHeight="1" x14ac:dyDescent="0.25">
      <c r="A18" s="36">
        <v>17</v>
      </c>
      <c r="B18" s="39"/>
      <c r="C18" s="40"/>
      <c r="D18" s="39"/>
      <c r="E18" s="108"/>
      <c r="F18" s="108"/>
      <c r="G18" s="41"/>
      <c r="H18" s="41"/>
    </row>
    <row r="19" spans="1:8" ht="30" customHeight="1" x14ac:dyDescent="0.25">
      <c r="A19" s="36">
        <v>18</v>
      </c>
      <c r="B19" s="39"/>
      <c r="C19" s="40"/>
      <c r="D19" s="39"/>
      <c r="E19" s="108"/>
      <c r="F19" s="108"/>
      <c r="G19" s="41"/>
      <c r="H19" s="41"/>
    </row>
    <row r="20" spans="1:8" ht="30" customHeight="1" x14ac:dyDescent="0.25">
      <c r="A20" s="36">
        <v>19</v>
      </c>
      <c r="B20" s="39"/>
      <c r="C20" s="40"/>
      <c r="D20" s="39"/>
      <c r="E20" s="108"/>
      <c r="F20" s="108"/>
      <c r="G20" s="41"/>
      <c r="H20" s="41"/>
    </row>
    <row r="21" spans="1:8" ht="30" customHeight="1" x14ac:dyDescent="0.25">
      <c r="A21" s="36">
        <v>20</v>
      </c>
      <c r="B21" s="39"/>
      <c r="C21" s="40"/>
      <c r="D21" s="39"/>
      <c r="E21" s="108"/>
      <c r="F21" s="108"/>
      <c r="G21" s="41"/>
      <c r="H21" s="41"/>
    </row>
    <row r="22" spans="1:8" ht="30" customHeight="1" x14ac:dyDescent="0.25">
      <c r="A22" s="36">
        <v>21</v>
      </c>
      <c r="B22" s="39"/>
      <c r="C22" s="40"/>
      <c r="D22" s="39"/>
      <c r="E22" s="108"/>
      <c r="F22" s="108"/>
      <c r="G22" s="41"/>
      <c r="H22" s="41"/>
    </row>
    <row r="23" spans="1:8" ht="30" customHeight="1" x14ac:dyDescent="0.25">
      <c r="A23" s="36">
        <v>22</v>
      </c>
      <c r="B23" s="39"/>
      <c r="C23" s="40"/>
      <c r="D23" s="39"/>
      <c r="E23" s="108"/>
      <c r="F23" s="108"/>
      <c r="G23" s="41"/>
      <c r="H23" s="41"/>
    </row>
    <row r="24" spans="1:8" ht="30" customHeight="1" x14ac:dyDescent="0.25">
      <c r="A24" s="36">
        <v>23</v>
      </c>
      <c r="B24" s="39"/>
      <c r="C24" s="40"/>
      <c r="D24" s="39"/>
      <c r="E24" s="108"/>
      <c r="F24" s="108"/>
      <c r="G24" s="41"/>
      <c r="H24" s="41"/>
    </row>
    <row r="25" spans="1:8" ht="30" customHeight="1" x14ac:dyDescent="0.25">
      <c r="A25" s="36">
        <v>24</v>
      </c>
      <c r="B25" s="39"/>
      <c r="C25" s="40"/>
      <c r="D25" s="39"/>
      <c r="E25" s="108"/>
      <c r="F25" s="108"/>
      <c r="G25" s="41"/>
      <c r="H25" s="41"/>
    </row>
    <row r="26" spans="1:8" ht="30" customHeight="1" x14ac:dyDescent="0.25">
      <c r="A26" s="36">
        <v>25</v>
      </c>
      <c r="B26" s="39"/>
      <c r="C26" s="40"/>
      <c r="D26" s="39"/>
      <c r="E26" s="108"/>
      <c r="F26" s="108"/>
      <c r="G26" s="41"/>
      <c r="H26" s="41"/>
    </row>
    <row r="27" spans="1:8" ht="30" customHeight="1" x14ac:dyDescent="0.25">
      <c r="A27" s="36">
        <v>26</v>
      </c>
      <c r="B27" s="39"/>
      <c r="C27" s="40"/>
      <c r="D27" s="39"/>
      <c r="E27" s="108"/>
      <c r="F27" s="108"/>
      <c r="G27" s="41"/>
      <c r="H27" s="41"/>
    </row>
    <row r="28" spans="1:8" ht="30" customHeight="1" x14ac:dyDescent="0.25">
      <c r="A28" s="36">
        <v>27</v>
      </c>
      <c r="B28" s="39"/>
      <c r="C28" s="40"/>
      <c r="D28" s="39"/>
      <c r="E28" s="108"/>
      <c r="F28" s="108"/>
      <c r="G28" s="41"/>
      <c r="H28" s="41"/>
    </row>
    <row r="29" spans="1:8" ht="30" customHeight="1" x14ac:dyDescent="0.25">
      <c r="A29" s="36">
        <v>28</v>
      </c>
      <c r="B29" s="39"/>
      <c r="C29" s="40"/>
      <c r="D29" s="39"/>
      <c r="E29" s="108"/>
      <c r="F29" s="108"/>
      <c r="G29" s="41"/>
      <c r="H29" s="41"/>
    </row>
    <row r="30" spans="1:8" ht="30" customHeight="1" x14ac:dyDescent="0.25">
      <c r="A30" s="36">
        <v>29</v>
      </c>
      <c r="B30" s="39"/>
      <c r="C30" s="40"/>
      <c r="D30" s="39"/>
      <c r="E30" s="108"/>
      <c r="F30" s="108"/>
      <c r="G30" s="41"/>
      <c r="H30" s="41"/>
    </row>
    <row r="31" spans="1:8" ht="30" customHeight="1" x14ac:dyDescent="0.25">
      <c r="A31" s="36">
        <v>30</v>
      </c>
      <c r="B31" s="39"/>
      <c r="C31" s="40"/>
      <c r="D31" s="39"/>
      <c r="E31" s="108"/>
      <c r="F31" s="108"/>
      <c r="G31" s="41"/>
      <c r="H31" s="41"/>
    </row>
  </sheetData>
  <sheetProtection algorithmName="SHA-512" hashValue="+Kt9gpQ6xoKmEZ02S7AXmtWnR2eCUjX5MUiohmt3PvJHvLCQ/ygMeDWFceyoM5e1KgMjF4F++gnu3LN54/nteg==" saltValue="tb0rqTScVPqDs5TJh0pUMA==" spinCount="100000" sheet="1" selectLockedCells="1"/>
  <dataValidations count="2">
    <dataValidation type="date" allowBlank="1" showInputMessage="1" showErrorMessage="1" error="Dates permeses entre 1/6/2025 i 31/5/2026" sqref="F2:F31" xr:uid="{A832ED12-BA5B-4ECD-BF2D-FBE360E9B6C2}">
      <formula1>45809</formula1>
      <formula2>46173</formula2>
    </dataValidation>
    <dataValidation type="date" allowBlank="1" showInputMessage="1" showErrorMessage="1" error="Dates permeses entre 1/6/2025 i 31/5/2026" sqref="E2:E31" xr:uid="{80D7C824-DF99-4C1D-A5E7-AF4A2E604F15}">
      <formula1>45809</formula1>
      <formula2>46234</formula2>
    </dataValidation>
  </dataValidations>
  <pageMargins left="0.59055118110236227" right="0.59055118110236227" top="0.78740157480314965" bottom="0.39370078740157483" header="0.31496062992125984" footer="0.31496062992125984"/>
  <pageSetup paperSize="9" scale="88" fitToHeight="7" orientation="landscape" r:id="rId1"/>
  <headerFooter>
    <oddHeader>&amp;C&amp;"Verdana,Normal"&amp;14Facturació avió i vaixell - clubs 2025/2026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EUCDCQ2A6R6Q-480994541-313764</_dlc_DocId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Url xmlns="4845febb-9323-42c4-a274-ece9c4551472">
      <Url>https://caib.sharepoint.com/sites/ARXIUS-ESPORTS/_layouts/15/DocIdRedir.aspx?ID=EUCDCQ2A6R6Q-480994541-313764</Url>
      <Description>EUCDCQ2A6R6Q-480994541-313764</Description>
    </_dlc_DocIdUrl>
  </documentManagement>
</p:properties>
</file>

<file path=customXml/itemProps1.xml><?xml version="1.0" encoding="utf-8"?>
<ds:datastoreItem xmlns:ds="http://schemas.openxmlformats.org/officeDocument/2006/customXml" ds:itemID="{96A72A1B-AEF8-49FD-93E3-D3CA8893CD49}"/>
</file>

<file path=customXml/itemProps2.xml><?xml version="1.0" encoding="utf-8"?>
<ds:datastoreItem xmlns:ds="http://schemas.openxmlformats.org/officeDocument/2006/customXml" ds:itemID="{CD089F2D-1D2B-456C-926A-59F1316E9407}"/>
</file>

<file path=customXml/itemProps3.xml><?xml version="1.0" encoding="utf-8"?>
<ds:datastoreItem xmlns:ds="http://schemas.openxmlformats.org/officeDocument/2006/customXml" ds:itemID="{E8771C10-B376-477F-A24B-C3C2ED72C7F8}"/>
</file>

<file path=customXml/itemProps4.xml><?xml version="1.0" encoding="utf-8"?>
<ds:datastoreItem xmlns:ds="http://schemas.openxmlformats.org/officeDocument/2006/customXml" ds:itemID="{A12FCFEE-30BE-4A04-9796-F3A0364274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despeses</vt:lpstr>
      <vt:lpstr>factures</vt:lpstr>
      <vt:lpstr>despeses!Área_de_impresión</vt:lpstr>
      <vt:lpstr>despeses!Títulos_a_imprimir</vt:lpstr>
      <vt:lpstr>factures!Títulos_a_imprimir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Grigelmo Miguel</dc:creator>
  <cp:lastModifiedBy>Santiago Bofill Surribas</cp:lastModifiedBy>
  <cp:lastPrinted>2026-01-09T13:58:16Z</cp:lastPrinted>
  <dcterms:created xsi:type="dcterms:W3CDTF">2018-10-10T09:59:07Z</dcterms:created>
  <dcterms:modified xsi:type="dcterms:W3CDTF">2026-06-10T08:41:15Z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_dlc_DocIdItemGuid">
    <vt:lpwstr>1725a73d-0f74-402d-8fe8-666127b5501b</vt:lpwstr>
  </property>
</Properties>
</file>