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UTE\END CAIB\Curt termini CAIB\CONTRATO MARCO\CONTRACTE TRESORERIA 2022\2-Licitació\Anunci\"/>
    </mc:Choice>
  </mc:AlternateContent>
  <xr:revisionPtr revIDLastSave="0" documentId="8_{60F3467F-6717-4613-B34D-15755DDE55FA}" xr6:coauthVersionLast="47" xr6:coauthVersionMax="47" xr10:uidLastSave="{00000000-0000-0000-0000-000000000000}"/>
  <bookViews>
    <workbookView xWindow="-120" yWindow="-120" windowWidth="29040" windowHeight="15840" xr2:uid="{3018C4F9-D27D-43F9-917F-53B99D3EEF46}"/>
  </bookViews>
  <sheets>
    <sheet name="CAS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  <c r="B33" i="1" s="1"/>
  <c r="C29" i="1"/>
  <c r="E29" i="1" s="1"/>
  <c r="C28" i="1"/>
  <c r="D28" i="1" s="1"/>
  <c r="C27" i="1"/>
  <c r="E27" i="1" s="1"/>
  <c r="C26" i="1"/>
  <c r="E26" i="1" s="1"/>
  <c r="C25" i="1"/>
  <c r="E25" i="1" s="1"/>
  <c r="C24" i="1"/>
  <c r="D24" i="1" s="1"/>
  <c r="C23" i="1"/>
  <c r="E23" i="1" s="1"/>
  <c r="C22" i="1"/>
  <c r="D22" i="1" s="1"/>
  <c r="C21" i="1"/>
  <c r="E21" i="1" s="1"/>
  <c r="C20" i="1"/>
  <c r="E20" i="1" s="1"/>
  <c r="C19" i="1"/>
  <c r="E19" i="1" s="1"/>
  <c r="C18" i="1"/>
  <c r="E18" i="1" s="1"/>
  <c r="B9" i="1"/>
  <c r="B8" i="1"/>
  <c r="D18" i="1" l="1"/>
  <c r="F18" i="1" s="1"/>
  <c r="E28" i="1"/>
  <c r="F28" i="1" s="1"/>
  <c r="D20" i="1"/>
  <c r="F20" i="1" s="1"/>
  <c r="D26" i="1"/>
  <c r="F26" i="1" s="1"/>
  <c r="E22" i="1"/>
  <c r="F22" i="1" s="1"/>
  <c r="D19" i="1"/>
  <c r="F19" i="1" s="1"/>
  <c r="D21" i="1"/>
  <c r="F21" i="1" s="1"/>
  <c r="D23" i="1"/>
  <c r="F23" i="1" s="1"/>
  <c r="D25" i="1"/>
  <c r="F25" i="1" s="1"/>
  <c r="D27" i="1"/>
  <c r="F27" i="1" s="1"/>
  <c r="D29" i="1"/>
  <c r="F29" i="1" s="1"/>
  <c r="E24" i="1"/>
  <c r="F24" i="1" s="1"/>
</calcChain>
</file>

<file path=xl/sharedStrings.xml><?xml version="1.0" encoding="utf-8"?>
<sst xmlns="http://schemas.openxmlformats.org/spreadsheetml/2006/main" count="32" uniqueCount="32">
  <si>
    <t>Plantilla orientativa para el cálculo y la justificación de las comisiones de custodia</t>
  </si>
  <si>
    <t>Contrato marco de Tesorería 2022</t>
  </si>
  <si>
    <t>Destinatarios de la cláusula 5.1 del Pliego de cláusulas particulares</t>
  </si>
  <si>
    <t>Período</t>
  </si>
  <si>
    <t>Entidad de crédito tesorera</t>
  </si>
  <si>
    <t>Importe total comisión adjudicado</t>
  </si>
  <si>
    <t>Franquicia</t>
  </si>
  <si>
    <t>Umbral</t>
  </si>
  <si>
    <t>Comisión aplicable saldos &lt;= umbral</t>
  </si>
  <si>
    <t>Ofrecida en la licitación</t>
  </si>
  <si>
    <t>Comisión aplicable saldos &gt; umbral</t>
  </si>
  <si>
    <t>Base de cálculo</t>
  </si>
  <si>
    <t>Act/Act</t>
  </si>
  <si>
    <t>Mes</t>
  </si>
  <si>
    <t>Saldo medio mensual</t>
  </si>
  <si>
    <t>Saldo medio mensual, deduciendo franquicia</t>
  </si>
  <si>
    <t>Cálculo comisión saldos inferiores al umbral</t>
  </si>
  <si>
    <t>Cálculo comisión saldos excedentes del umbral</t>
  </si>
  <si>
    <t>Cálculo comisión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</si>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</sst>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Noto Sans"/>
      <family val="2"/>
      <charset val="1"/>
    </font>
    <font>
      <sz val="11"/>
      <name val="Noto Sans"/>
      <family val="2"/>
      <charset val="1"/>
    </font>
    <font>
      <b/>
      <sz val="11"/>
      <name val="Noto Sans"/>
      <family val="2"/>
    </font>
    <font>
      <sz val="9"/>
      <name val="Noto Sans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Protection="1">
      <protection locked="0"/>
    </xf>
    <xf numFmtId="44" fontId="3" fillId="0" borderId="1" xfId="0" applyNumberFormat="1" applyFont="1" applyBorder="1"/>
    <xf numFmtId="44" fontId="3" fillId="0" borderId="0" xfId="1" applyFont="1" applyFill="1" applyProtection="1"/>
    <xf numFmtId="44" fontId="3" fillId="0" borderId="1" xfId="0" applyNumberFormat="1" applyFont="1" applyBorder="1" applyProtection="1">
      <protection locked="0"/>
    </xf>
    <xf numFmtId="44" fontId="3" fillId="0" borderId="0" xfId="0" applyNumberFormat="1" applyFont="1"/>
    <xf numFmtId="0" fontId="2" fillId="0" borderId="1" xfId="0" applyFont="1" applyBorder="1" applyAlignment="1">
      <alignment wrapText="1"/>
    </xf>
    <xf numFmtId="10" fontId="3" fillId="0" borderId="1" xfId="0" applyNumberFormat="1" applyFont="1" applyBorder="1"/>
    <xf numFmtId="0" fontId="5" fillId="0" borderId="0" xfId="0" applyFont="1"/>
    <xf numFmtId="1" fontId="3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quotePrefix="1" applyFont="1" applyBorder="1" applyAlignment="1">
      <alignment horizontal="center"/>
    </xf>
    <xf numFmtId="17" fontId="3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971551</xdr:colOff>
      <xdr:row>0</xdr:row>
      <xdr:rowOff>57150</xdr:rowOff>
    </xdr:from>
    <xdr:to>
      <xdr:col>15</xdr:col>
      <xdr:colOff>695326</xdr:colOff>
      <xdr:row>41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E5300F-9093-4B57-AAC1-1AAC9C59AAEF}"/>
            </a:ext>
          </a:extLst>
        </xdr:cNvPr>
        <xdr:cNvSpPr txBox="1"/>
      </xdr:nvSpPr>
      <xdr:spPr>
        <a:xfrm>
          <a:off x="12677776" y="57150"/>
          <a:ext cx="7353300" cy="908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ysClr val="windowText" lastClr="000000"/>
              </a:solidFill>
              <a:latin typeface="Noto Sans" panose="020B0502040504020204" pitchFamily="34"/>
              <a:ea typeface="Noto Sans" panose="020B0502040504020204" pitchFamily="34"/>
              <a:cs typeface="Noto Sans" panose="020B0502040504020204" pitchFamily="34"/>
            </a:rPr>
            <a:t>Cláusula</a:t>
          </a:r>
          <a:r>
            <a:rPr lang="es-ES" sz="1100" b="1" baseline="0">
              <a:solidFill>
                <a:sysClr val="windowText" lastClr="000000"/>
              </a:solidFill>
              <a:latin typeface="Noto Sans" panose="020B0502040504020204" pitchFamily="34"/>
              <a:ea typeface="Noto Sans" panose="020B0502040504020204" pitchFamily="34"/>
              <a:cs typeface="Noto Sans" panose="020B0502040504020204" pitchFamily="34"/>
            </a:rPr>
            <a:t> 6.6.3 Pliego de prescripciones técnicas</a:t>
          </a:r>
          <a:endParaRPr lang="es-ES" sz="1100" b="1">
            <a:solidFill>
              <a:sysClr val="windowText" lastClr="000000"/>
            </a:solidFill>
            <a:latin typeface="Noto Sans" panose="020B0502040504020204" pitchFamily="34"/>
            <a:ea typeface="Noto Sans" panose="020B0502040504020204" pitchFamily="34"/>
            <a:cs typeface="Noto Sans" panose="020B0502040504020204" pitchFamily="34"/>
          </a:endParaRPr>
        </a:p>
        <a:p>
          <a:endParaRPr lang="es-ES" sz="1100">
            <a:solidFill>
              <a:sysClr val="windowText" lastClr="000000"/>
            </a:solidFill>
            <a:latin typeface="Noto Sans" panose="020B0502040504020204" pitchFamily="34"/>
            <a:ea typeface="Noto Sans" panose="020B0502040504020204" pitchFamily="34"/>
            <a:cs typeface="Noto Sans" panose="020B0502040504020204" pitchFamily="34"/>
          </a:endParaRPr>
        </a:p>
        <a:p>
          <a:r>
            <a:rPr lang="es-ES" b="1">
              <a:solidFill>
                <a:sysClr val="windowText" lastClr="000000"/>
              </a:solidFill>
              <a:latin typeface="Noto Sans" panose="020B0502040504020204" pitchFamily="34"/>
              <a:ea typeface="Noto Sans" panose="020B0502040504020204" pitchFamily="34"/>
              <a:cs typeface="Noto Sans" panose="020B0502040504020204" pitchFamily="34"/>
            </a:rPr>
            <a:t>Forma de cálculo por los destinatarios del Contrato marco de la cláusula 5.1 del Pliego de cláusulas particulares</a:t>
          </a:r>
        </a:p>
        <a:p>
          <a:endParaRPr lang="es-ES" b="1">
            <a:solidFill>
              <a:srgbClr val="FF0000"/>
            </a:solidFill>
            <a:latin typeface="Noto Sans" panose="020B0502040504020204" pitchFamily="34"/>
            <a:ea typeface="Noto Sans" panose="020B0502040504020204" pitchFamily="34"/>
            <a:cs typeface="Noto Sans" panose="020B0502040504020204" pitchFamily="34"/>
          </a:endParaRPr>
        </a:p>
        <a:p>
          <a:r>
            <a:rPr lang="ca-ES" sz="1100" b="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El cálculo se realizará sobre los saldos mensuales positivos medios de </a:t>
          </a:r>
          <a:r>
            <a:rPr lang="ca-ES" sz="1100" b="1" u="sng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todos</a:t>
          </a:r>
          <a:r>
            <a:rPr lang="ca-ES" sz="1100" b="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 los destinatarios del Contrato marco de la cláusula 5.1 del Pliego de cláusulas particulares que mantengan en las cuentas bancarias abiertas de cada entidad tesorera, teniendo en cuenta lo siguiente: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0">
            <a:solidFill>
              <a:srgbClr val="FF0000"/>
            </a:solidFill>
            <a:effectLst/>
            <a:latin typeface="Noto Sans" panose="020B0502040504020204" pitchFamily="34"/>
            <a:ea typeface="Noto Sans" panose="020B0502040504020204" pitchFamily="34"/>
            <a:cs typeface="Noto Sans" panose="020B0502040504020204" pitchFamily="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-Cuando un saldo diario sea negativo (por disposición del crédito en cuenta corriente), se considerará que el saldo es cero a efectos del cálculo de esta comisión.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-Por cada día, se tomará el último saldo del día.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-Los saldos diarios se ordenarán por fecha operación, no por fecha valor.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-Cada promedio mensual se calculará con el saldo de todos los días naturales del mes.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>
            <a:solidFill>
              <a:schemeClr val="dk1"/>
            </a:solidFill>
            <a:effectLst/>
            <a:latin typeface="Noto Sans" panose="020B0502040504020204" pitchFamily="34" charset="0"/>
            <a:ea typeface="Noto Sans" panose="020B050204050402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Cada entidad tesorera debe calcular la media mensual de los saldos bancarios, por cada mes del período a liquidar.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>
            <a:solidFill>
              <a:schemeClr val="dk1"/>
            </a:solidFill>
            <a:effectLst/>
            <a:latin typeface="Noto Sans" panose="020B0502040504020204" pitchFamily="34" charset="0"/>
            <a:ea typeface="Noto Sans" panose="020B050204050402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Se establece una franquicia de 10.000.000 euros a aplicar sobre el saldo positivo mensual medio total resultante para cada entidad tesorera.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>
            <a:solidFill>
              <a:schemeClr val="dk1"/>
            </a:solidFill>
            <a:effectLst/>
            <a:latin typeface="Noto Sans" panose="020B0502040504020204" pitchFamily="34" charset="0"/>
            <a:ea typeface="Noto Sans" panose="020B050204050402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Esta franquicia de 10.000.000 euros se deduce de la media mensual de los saldos positivos de cada mes y entidad tesorera. El resultado de la deducción de la franquicia será, por cada mes: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>
            <a:solidFill>
              <a:schemeClr val="dk1"/>
            </a:solidFill>
            <a:effectLst/>
            <a:latin typeface="Noto Sans" panose="020B0502040504020204" pitchFamily="34" charset="0"/>
            <a:ea typeface="Noto Sans" panose="020B050204050402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Máximo {Saldo medio mensual positivo – 10.000.000 €, 0 €}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>
            <a:solidFill>
              <a:schemeClr val="dk1"/>
            </a:solidFill>
            <a:effectLst/>
            <a:latin typeface="Noto Sans" panose="020B0502040504020204" pitchFamily="34" charset="0"/>
            <a:ea typeface="Noto Sans" panose="020B050204050402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Se establece un umbral para cada entidad tesorera, de modo que los saldos mensuales menores o iguales a ese umbral se remuneran al tipo aplicable (%) al cálculo de la comisión de custodia ofrecido en la licitación y los saldos que exceden del mismo umbral se remuneran al 0,50% anual, salvo lo previsto en el final de esta cláusula.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>
            <a:solidFill>
              <a:schemeClr val="dk1"/>
            </a:solidFill>
            <a:effectLst/>
            <a:latin typeface="Noto Sans" panose="020B0502040504020204" pitchFamily="34" charset="0"/>
            <a:ea typeface="Noto Sans" panose="020B050204050402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Noto Sans" panose="020B0502040504020204" pitchFamily="34" charset="0"/>
              <a:ea typeface="Noto Sans" panose="020B0502040504020204" pitchFamily="34" charset="0"/>
              <a:cs typeface="+mn-cs"/>
            </a:rPr>
            <a:t>El umbral se obtendrá dividiendo 800.000.000 euros entre el número de entidades tesoreras adjudicatarias.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>
            <a:solidFill>
              <a:sysClr val="windowText" lastClr="000000"/>
            </a:solidFill>
            <a:effectLst/>
            <a:latin typeface="Noto Sans" panose="020B0502040504020204" pitchFamily="34" charset="0"/>
            <a:ea typeface="Noto Sans" panose="020B0502040504020204" pitchFamily="34" charset="0"/>
            <a:cs typeface="Noto Sans" panose="020B0502040504020204" pitchFamily="34"/>
          </a:endParaRPr>
        </a:p>
        <a:p>
          <a:r>
            <a:rPr lang="es-ES">
              <a:solidFill>
                <a:sysClr val="windowText" lastClr="000000"/>
              </a:solidFill>
              <a:latin typeface="Noto Sans" panose="020B0502040504020204" pitchFamily="34"/>
              <a:ea typeface="Noto Sans" panose="020B0502040504020204" pitchFamily="34"/>
              <a:cs typeface="Noto Sans" panose="020B0502040504020204" pitchFamily="34"/>
            </a:rPr>
            <a:t>El umbral que corresponde a cada entidad tesorera es de aplicación sobre los saldos medios mensuales positivos una vez ya se ha deducido la franquicia de 10.000.000 euros.</a:t>
          </a:r>
        </a:p>
        <a:p>
          <a:endParaRPr lang="es-ES">
            <a:solidFill>
              <a:sysClr val="windowText" lastClr="000000"/>
            </a:solidFill>
            <a:latin typeface="Noto Sans" panose="020B0502040504020204" pitchFamily="34"/>
            <a:ea typeface="Noto Sans" panose="020B0502040504020204" pitchFamily="34"/>
            <a:cs typeface="Noto Sans" panose="020B0502040504020204" pitchFamily="34"/>
          </a:endParaRPr>
        </a:p>
        <a:p>
          <a:r>
            <a:rPr lang="es-ES">
              <a:solidFill>
                <a:sysClr val="windowText" lastClr="000000"/>
              </a:solidFill>
              <a:latin typeface="Noto Sans" panose="020B0502040504020204" pitchFamily="34"/>
              <a:ea typeface="Noto Sans" panose="020B0502040504020204" pitchFamily="34"/>
              <a:cs typeface="Noto Sans" panose="020B0502040504020204" pitchFamily="34"/>
            </a:rPr>
            <a:t>Así, cada entidad tesorera calculará el importe de la comisión de custodia por cada mes y se sumarán los importes resultantes de los meses que correspondan de acuerdo con los periodos establecidos en la cláusula 40 del Pliego de cláusulas particulares.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orientativa%20justificaci&#243;%20comissi&#243;%20cust&#242;d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"/>
      <sheetName val="CAST"/>
      <sheetName val="Períodes"/>
    </sheetNames>
    <sheetDataSet>
      <sheetData sheetId="0" refreshError="1"/>
      <sheetData sheetId="1" refreshError="1"/>
      <sheetData sheetId="2">
        <row r="2">
          <cell r="E2" t="str">
            <v>1r período: julio-octubre 2022 (4 meses)</v>
          </cell>
        </row>
        <row r="3">
          <cell r="E3" t="str">
            <v>2º período: noviembre 2022-junio 2023 (8 meses)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80FC-16E0-4F5E-9BDF-F057033015CA}">
  <dimension ref="A1:H33"/>
  <sheetViews>
    <sheetView showGridLines="0" tabSelected="1" topLeftCell="A3" workbookViewId="0">
      <selection activeCell="A15" sqref="A15"/>
    </sheetView>
  </sheetViews>
  <sheetFormatPr baseColWidth="10" defaultRowHeight="16.5" x14ac:dyDescent="0.3"/>
  <cols>
    <col min="1" max="1" width="46.85546875" style="2" customWidth="1"/>
    <col min="2" max="2" width="31" style="2" customWidth="1"/>
    <col min="3" max="3" width="27" style="2" customWidth="1"/>
    <col min="4" max="5" width="23.42578125" style="2" customWidth="1"/>
    <col min="6" max="6" width="23.85546875" style="2" bestFit="1" customWidth="1"/>
    <col min="7" max="7" width="18.85546875" style="2" customWidth="1"/>
    <col min="8" max="8" width="15.5703125" style="2" customWidth="1"/>
    <col min="9" max="16384" width="11.42578125" style="2"/>
  </cols>
  <sheetData>
    <row r="1" spans="1:6" x14ac:dyDescent="0.3">
      <c r="A1" s="1" t="s">
        <v>0</v>
      </c>
    </row>
    <row r="2" spans="1:6" x14ac:dyDescent="0.3">
      <c r="A2" s="1" t="s">
        <v>1</v>
      </c>
    </row>
    <row r="3" spans="1:6" x14ac:dyDescent="0.3">
      <c r="A3" s="3" t="s">
        <v>2</v>
      </c>
    </row>
    <row r="5" spans="1:6" x14ac:dyDescent="0.3">
      <c r="A5" s="4" t="s">
        <v>3</v>
      </c>
      <c r="B5" s="5"/>
    </row>
    <row r="6" spans="1:6" x14ac:dyDescent="0.3">
      <c r="A6" s="4" t="s">
        <v>4</v>
      </c>
      <c r="B6" s="6"/>
    </row>
    <row r="7" spans="1:6" x14ac:dyDescent="0.3">
      <c r="A7" s="4" t="s">
        <v>5</v>
      </c>
      <c r="B7" s="7">
        <v>500000</v>
      </c>
      <c r="F7" s="8"/>
    </row>
    <row r="8" spans="1:6" x14ac:dyDescent="0.3">
      <c r="A8" s="4">
        <v>2022</v>
      </c>
      <c r="B8" s="9">
        <f>0.75*B7</f>
        <v>375000</v>
      </c>
      <c r="F8" s="8"/>
    </row>
    <row r="9" spans="1:6" x14ac:dyDescent="0.3">
      <c r="A9" s="4">
        <v>2023</v>
      </c>
      <c r="B9" s="9">
        <f>0.25*B7</f>
        <v>125000</v>
      </c>
      <c r="F9" s="10"/>
    </row>
    <row r="10" spans="1:6" x14ac:dyDescent="0.3">
      <c r="A10" s="11" t="s">
        <v>6</v>
      </c>
      <c r="B10" s="7">
        <v>10000000</v>
      </c>
    </row>
    <row r="11" spans="1:6" x14ac:dyDescent="0.3">
      <c r="A11" s="11" t="s">
        <v>7</v>
      </c>
      <c r="B11" s="7">
        <v>200000000</v>
      </c>
    </row>
    <row r="12" spans="1:6" x14ac:dyDescent="0.3">
      <c r="A12" s="4" t="s">
        <v>8</v>
      </c>
      <c r="B12" s="12">
        <v>3.0000000000000001E-3</v>
      </c>
      <c r="C12" s="13" t="s">
        <v>9</v>
      </c>
      <c r="D12" s="13"/>
      <c r="E12" s="13"/>
    </row>
    <row r="13" spans="1:6" x14ac:dyDescent="0.3">
      <c r="A13" s="4" t="s">
        <v>10</v>
      </c>
      <c r="B13" s="12">
        <v>5.0000000000000001E-3</v>
      </c>
      <c r="C13" s="13"/>
      <c r="D13" s="13"/>
      <c r="E13" s="13"/>
    </row>
    <row r="14" spans="1:6" x14ac:dyDescent="0.3">
      <c r="A14" s="4" t="s">
        <v>11</v>
      </c>
      <c r="B14" s="14">
        <v>365</v>
      </c>
      <c r="C14" s="13" t="s">
        <v>12</v>
      </c>
      <c r="D14" s="13"/>
      <c r="E14" s="13"/>
    </row>
    <row r="17" spans="1:8" ht="49.5" x14ac:dyDescent="0.3">
      <c r="A17" s="15" t="s">
        <v>13</v>
      </c>
      <c r="B17" s="15" t="s">
        <v>14</v>
      </c>
      <c r="C17" s="16" t="s">
        <v>15</v>
      </c>
      <c r="D17" s="16" t="s">
        <v>16</v>
      </c>
      <c r="E17" s="16" t="s">
        <v>17</v>
      </c>
      <c r="F17" s="16" t="s">
        <v>18</v>
      </c>
    </row>
    <row r="18" spans="1:8" x14ac:dyDescent="0.3">
      <c r="A18" s="17" t="s">
        <v>19</v>
      </c>
      <c r="B18" s="9"/>
      <c r="C18" s="7">
        <f>+IF(B18-$B$10&lt;0,0,B18-$B$10)</f>
        <v>0</v>
      </c>
      <c r="D18" s="7">
        <f>+ROUND(IF(C18&gt;$B$11,$B$11*$B$12*VLOOKUP(A18,[1]!Dias[#Data],2,FALSE)/$B$14,C18*$B$12*VLOOKUP(A18,[1]!Dias[#Data],2,FALSE)/$B$14),2)</f>
        <v>0</v>
      </c>
      <c r="E18" s="7">
        <f>+ROUND(IF(C18&lt;=$B$11,0,(C18-$B$11)*$B$13*VLOOKUP(A18,[1]!Dias[#Data],2,FALSE)/$B$14),2)</f>
        <v>0</v>
      </c>
      <c r="F18" s="7">
        <f>+D18+E18</f>
        <v>0</v>
      </c>
    </row>
    <row r="19" spans="1:8" x14ac:dyDescent="0.3">
      <c r="A19" s="18" t="s">
        <v>20</v>
      </c>
      <c r="B19" s="9"/>
      <c r="C19" s="7">
        <f t="shared" ref="C19:C29" si="0">+IF(B19-$B$10&lt;0,0,B19-$B$10)</f>
        <v>0</v>
      </c>
      <c r="D19" s="7">
        <f>+ROUND(IF(C19&gt;$B$11,$B$11*$B$12*VLOOKUP(A19,[1]!Dias[#Data],2,FALSE)/$B$14,C19*$B$12*VLOOKUP(A19,[1]!Dias[#Data],2,FALSE)/$B$14),2)</f>
        <v>0</v>
      </c>
      <c r="E19" s="7">
        <f>+ROUND(IF(C19&lt;=$B$11,0,(C19-$B$11)*$B$13*VLOOKUP(A19,[1]!Dias[#Data],2,FALSE)/$B$14),2)</f>
        <v>0</v>
      </c>
      <c r="F19" s="7">
        <f t="shared" ref="F19:F29" si="1">+D19+E19</f>
        <v>0</v>
      </c>
    </row>
    <row r="20" spans="1:8" x14ac:dyDescent="0.3">
      <c r="A20" s="17" t="s">
        <v>21</v>
      </c>
      <c r="B20" s="9"/>
      <c r="C20" s="7">
        <f t="shared" si="0"/>
        <v>0</v>
      </c>
      <c r="D20" s="7">
        <f>+ROUND(IF(C20&gt;$B$11,$B$11*$B$12*VLOOKUP(A20,[1]!Dias[#Data],2,FALSE)/$B$14,C20*$B$12*VLOOKUP(A20,[1]!Dias[#Data],2,FALSE)/$B$14),2)</f>
        <v>0</v>
      </c>
      <c r="E20" s="7">
        <f>+ROUND(IF(C20&lt;=$B$11,0,(C20-$B$11)*$B$13*VLOOKUP(A20,[1]!Dias[#Data],2,FALSE)/$B$14),2)</f>
        <v>0</v>
      </c>
      <c r="F20" s="7">
        <f t="shared" si="1"/>
        <v>0</v>
      </c>
    </row>
    <row r="21" spans="1:8" x14ac:dyDescent="0.3">
      <c r="A21" s="18" t="s">
        <v>22</v>
      </c>
      <c r="B21" s="9"/>
      <c r="C21" s="7">
        <f t="shared" si="0"/>
        <v>0</v>
      </c>
      <c r="D21" s="7">
        <f>+ROUND(IF(C21&gt;$B$11,$B$11*$B$12*VLOOKUP(A21,[1]!Dias[#Data],2,FALSE)/$B$14,C21*$B$12*VLOOKUP(A21,[1]!Dias[#Data],2,FALSE)/$B$14),2)</f>
        <v>0</v>
      </c>
      <c r="E21" s="7">
        <f>+ROUND(IF(C21&lt;=$B$11,0,(C21-$B$11)*$B$13*VLOOKUP(A21,[1]!Dias[#Data],2,FALSE)/$B$14),2)</f>
        <v>0</v>
      </c>
      <c r="F21" s="7">
        <f t="shared" si="1"/>
        <v>0</v>
      </c>
    </row>
    <row r="22" spans="1:8" x14ac:dyDescent="0.3">
      <c r="A22" s="17" t="s">
        <v>23</v>
      </c>
      <c r="B22" s="9"/>
      <c r="C22" s="7">
        <f t="shared" si="0"/>
        <v>0</v>
      </c>
      <c r="D22" s="7">
        <f>+ROUND(IF(C22&gt;$B$11,$B$11*$B$12*VLOOKUP(A22,[1]!Dias[#Data],2,FALSE)/$B$14,C22*$B$12*VLOOKUP(A22,[1]!Dias[#Data],2,FALSE)/$B$14),2)</f>
        <v>0</v>
      </c>
      <c r="E22" s="7">
        <f>+ROUND(IF(C22&lt;=$B$11,0,(C22-$B$11)*$B$13*VLOOKUP(A22,[1]!Dias[#Data],2,FALSE)/$B$14),2)</f>
        <v>0</v>
      </c>
      <c r="F22" s="7">
        <f t="shared" si="1"/>
        <v>0</v>
      </c>
    </row>
    <row r="23" spans="1:8" x14ac:dyDescent="0.3">
      <c r="A23" s="17" t="s">
        <v>24</v>
      </c>
      <c r="B23" s="9"/>
      <c r="C23" s="7">
        <f t="shared" si="0"/>
        <v>0</v>
      </c>
      <c r="D23" s="7">
        <f>+ROUND(IF(C23&gt;$B$11,$B$11*$B$12*VLOOKUP(A23,[1]!Dias[#Data],2,FALSE)/$B$14,C23*$B$12*VLOOKUP(A23,[1]!Dias[#Data],2,FALSE)/$B$14),2)</f>
        <v>0</v>
      </c>
      <c r="E23" s="7">
        <f>+ROUND(IF(C23&lt;=$B$11,0,(C23-$B$11)*$B$13*VLOOKUP(A23,[1]!Dias[#Data],2,FALSE)/$B$14),2)</f>
        <v>0</v>
      </c>
      <c r="F23" s="7">
        <f t="shared" si="1"/>
        <v>0</v>
      </c>
    </row>
    <row r="24" spans="1:8" x14ac:dyDescent="0.3">
      <c r="A24" s="17" t="s">
        <v>25</v>
      </c>
      <c r="B24" s="9"/>
      <c r="C24" s="7">
        <f t="shared" si="0"/>
        <v>0</v>
      </c>
      <c r="D24" s="7">
        <f>+ROUND(IF(C24&gt;$B$11,$B$11*$B$12*VLOOKUP(A24,[1]!Dias[#Data],2,FALSE)/$B$14,C24*$B$12*VLOOKUP(A24,[1]!Dias[#Data],2,FALSE)/$B$14),2)</f>
        <v>0</v>
      </c>
      <c r="E24" s="7">
        <f>+ROUND(IF(C24&lt;=$B$11,0,(C24-$B$11)*$B$13*VLOOKUP(A24,[1]!Dias[#Data],2,FALSE)/$B$14),2)</f>
        <v>0</v>
      </c>
      <c r="F24" s="7">
        <f t="shared" si="1"/>
        <v>0</v>
      </c>
    </row>
    <row r="25" spans="1:8" x14ac:dyDescent="0.3">
      <c r="A25" s="18" t="s">
        <v>26</v>
      </c>
      <c r="B25" s="9"/>
      <c r="C25" s="7">
        <f t="shared" si="0"/>
        <v>0</v>
      </c>
      <c r="D25" s="7">
        <f>+ROUND(IF(C25&gt;$B$11,$B$11*$B$12*VLOOKUP(A25,[1]!Dias[#Data],2,FALSE)/$B$14,C25*$B$12*VLOOKUP(A25,[1]!Dias[#Data],2,FALSE)/$B$14),2)</f>
        <v>0</v>
      </c>
      <c r="E25" s="7">
        <f>+ROUND(IF(C25&lt;=$B$11,0,(C25-$B$11)*$B$13*VLOOKUP(A25,[1]!Dias[#Data],2,FALSE)/$B$14),2)</f>
        <v>0</v>
      </c>
      <c r="F25" s="7">
        <f t="shared" si="1"/>
        <v>0</v>
      </c>
    </row>
    <row r="26" spans="1:8" x14ac:dyDescent="0.3">
      <c r="A26" s="17" t="s">
        <v>27</v>
      </c>
      <c r="B26" s="9"/>
      <c r="C26" s="7">
        <f t="shared" si="0"/>
        <v>0</v>
      </c>
      <c r="D26" s="7">
        <f>+ROUND(IF(C26&gt;$B$11,$B$11*$B$12*VLOOKUP(A26,[1]!Dias[#Data],2,FALSE)/$B$14,C26*$B$12*VLOOKUP(A26,[1]!Dias[#Data],2,FALSE)/$B$14),2)</f>
        <v>0</v>
      </c>
      <c r="E26" s="7">
        <f>+ROUND(IF(C26&lt;=$B$11,0,(C26-$B$11)*$B$13*VLOOKUP(A26,[1]!Dias[#Data],2,FALSE)/$B$14),2)</f>
        <v>0</v>
      </c>
      <c r="F26" s="7">
        <f t="shared" si="1"/>
        <v>0</v>
      </c>
      <c r="G26" s="16"/>
    </row>
    <row r="27" spans="1:8" x14ac:dyDescent="0.3">
      <c r="A27" s="17" t="s">
        <v>28</v>
      </c>
      <c r="B27" s="9"/>
      <c r="C27" s="7">
        <f t="shared" si="0"/>
        <v>0</v>
      </c>
      <c r="D27" s="7">
        <f>+ROUND(IF(C27&gt;$B$11,$B$11*$B$12*VLOOKUP(A27,[1]!Dias[#Data],2,FALSE)/$B$14,C27*$B$12*VLOOKUP(A27,[1]!Dias[#Data],2,FALSE)/$B$14),2)</f>
        <v>0</v>
      </c>
      <c r="E27" s="7">
        <f>+ROUND(IF(C27&lt;=$B$11,0,(C27-$B$11)*$B$13*VLOOKUP(A27,[1]!Dias[#Data],2,FALSE)/$B$14),2)</f>
        <v>0</v>
      </c>
      <c r="F27" s="7">
        <f t="shared" si="1"/>
        <v>0</v>
      </c>
      <c r="G27" s="15"/>
    </row>
    <row r="28" spans="1:8" x14ac:dyDescent="0.3">
      <c r="A28" s="17" t="s">
        <v>29</v>
      </c>
      <c r="B28" s="9"/>
      <c r="C28" s="7">
        <f t="shared" si="0"/>
        <v>0</v>
      </c>
      <c r="D28" s="7">
        <f>+ROUND(IF(C28&gt;$B$11,$B$11*$B$12*VLOOKUP(A28,[1]!Dias[#Data],2,FALSE)/$B$14,C28*$B$12*VLOOKUP(A28,[1]!Dias[#Data],2,FALSE)/$B$14),2)</f>
        <v>0</v>
      </c>
      <c r="E28" s="7">
        <f>+ROUND(IF(C28&lt;=$B$11,0,(C28-$B$11)*$B$13*VLOOKUP(A28,[1]!Dias[#Data],2,FALSE)/$B$14),2)</f>
        <v>0</v>
      </c>
      <c r="F28" s="7">
        <f t="shared" si="1"/>
        <v>0</v>
      </c>
      <c r="G28" s="15"/>
      <c r="H28" s="15"/>
    </row>
    <row r="29" spans="1:8" x14ac:dyDescent="0.3">
      <c r="A29" s="17" t="s">
        <v>30</v>
      </c>
      <c r="B29" s="9"/>
      <c r="C29" s="7">
        <f t="shared" si="0"/>
        <v>0</v>
      </c>
      <c r="D29" s="7">
        <f>+ROUND(IF(C29&gt;$B$11,$B$11*$B$12*VLOOKUP(A29,[1]!Dias[#Data],2,FALSE)/$B$14,C29*$B$12*VLOOKUP(A29,[1]!Dias[#Data],2,FALSE)/$B$14),2)</f>
        <v>0</v>
      </c>
      <c r="E29" s="7">
        <f>+ROUND(IF(C29&lt;=$B$11,0,(C29-$B$11)*$B$13*VLOOKUP(A29,[1]!Dias[#Data],2,FALSE)/$B$14),2)</f>
        <v>0</v>
      </c>
      <c r="F29" s="7">
        <f t="shared" si="1"/>
        <v>0</v>
      </c>
      <c r="G29" s="15"/>
    </row>
    <row r="30" spans="1:8" x14ac:dyDescent="0.3">
      <c r="A30" s="15"/>
      <c r="B30" s="15"/>
      <c r="C30" s="15"/>
      <c r="D30" s="15"/>
      <c r="E30" s="15"/>
      <c r="F30" s="15"/>
      <c r="G30" s="15"/>
      <c r="H30" s="15"/>
    </row>
    <row r="31" spans="1:8" x14ac:dyDescent="0.3">
      <c r="B31" s="15"/>
      <c r="C31" s="15"/>
      <c r="D31" s="15"/>
      <c r="E31" s="15"/>
      <c r="F31" s="15"/>
      <c r="G31" s="15"/>
      <c r="H31" s="15"/>
    </row>
    <row r="32" spans="1:8" x14ac:dyDescent="0.3">
      <c r="A32" s="1" t="s">
        <v>31</v>
      </c>
    </row>
    <row r="33" spans="1:2" x14ac:dyDescent="0.3">
      <c r="A33" s="19">
        <f>+B5</f>
        <v>0</v>
      </c>
      <c r="B33" s="20">
        <f>+ROUND(IF(A33=[1]Períodes!E2,MIN(SUM(F18:F21),B8),IF(A33=[1]Períodes!E3,MIN(SUM(F22:F29),B9),0)),2)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Sánchez Cifre</dc:creator>
  <cp:lastModifiedBy>Guillermo Sánchez Cifre</cp:lastModifiedBy>
  <dcterms:created xsi:type="dcterms:W3CDTF">2022-04-07T13:23:15Z</dcterms:created>
  <dcterms:modified xsi:type="dcterms:W3CDTF">2022-04-07T13:24:18Z</dcterms:modified>
</cp:coreProperties>
</file>