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 mandat CES\04 PUBLICACIONS\01 MEMÒRIA\2021\6. Capítols maquetats i excels OK\"/>
    </mc:Choice>
  </mc:AlternateContent>
  <xr:revisionPtr revIDLastSave="0" documentId="13_ncr:1_{89F7E7CB-A1A9-40DF-849E-C908494FB993}" xr6:coauthVersionLast="45" xr6:coauthVersionMax="47" xr10:uidLastSave="{00000000-0000-0000-0000-000000000000}"/>
  <bookViews>
    <workbookView xWindow="-120" yWindow="-120" windowWidth="21840" windowHeight="13140" tabRatio="500" firstSheet="1" activeTab="11" xr2:uid="{00000000-000D-0000-FFFF-FFFF00000000}"/>
  </bookViews>
  <sheets>
    <sheet name="Índex de taules i gràfics" sheetId="1" r:id="rId1"/>
    <sheet name="G1" sheetId="2" r:id="rId2"/>
    <sheet name="Q1" sheetId="3" r:id="rId3"/>
    <sheet name="Q2" sheetId="4" r:id="rId4"/>
    <sheet name="Q3-G2" sheetId="6" r:id="rId5"/>
    <sheet name="Q4" sheetId="7" r:id="rId6"/>
    <sheet name="G3-G4" sheetId="8" r:id="rId7"/>
    <sheet name="Q5-" sheetId="9" r:id="rId8"/>
    <sheet name="-Q7BAIXA" sheetId="10" state="hidden" r:id="rId9"/>
    <sheet name="Q6-" sheetId="11" r:id="rId10"/>
    <sheet name="Q7-" sheetId="12" r:id="rId11"/>
    <sheet name="QA1" sheetId="1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4" l="1"/>
  <c r="F17" i="3"/>
  <c r="G14" i="12"/>
  <c r="G9" i="12"/>
  <c r="G4" i="12"/>
  <c r="G13" i="12"/>
  <c r="G3" i="12"/>
  <c r="G18" i="12" s="1"/>
  <c r="J30" i="13"/>
  <c r="J29" i="13"/>
  <c r="J28" i="13"/>
  <c r="J27" i="13"/>
  <c r="J26" i="13"/>
  <c r="L26" i="13" s="1"/>
  <c r="J25" i="13"/>
  <c r="J24" i="13"/>
  <c r="J23" i="13"/>
  <c r="J21" i="13"/>
  <c r="J20" i="13"/>
  <c r="J19" i="13"/>
  <c r="J18" i="13"/>
  <c r="J17" i="13"/>
  <c r="L17" i="13" s="1"/>
  <c r="J16" i="13"/>
  <c r="J15" i="13"/>
  <c r="J14" i="13"/>
  <c r="J12" i="13"/>
  <c r="J11" i="13"/>
  <c r="J38" i="13" s="1"/>
  <c r="L28" i="13"/>
  <c r="J10" i="13"/>
  <c r="J9" i="13"/>
  <c r="J8" i="13"/>
  <c r="J7" i="13"/>
  <c r="J6" i="13"/>
  <c r="J5" i="13"/>
  <c r="J32" i="13"/>
  <c r="J37" i="13"/>
  <c r="F9" i="9"/>
  <c r="F5" i="9"/>
  <c r="G16" i="12" s="1"/>
  <c r="F8" i="9"/>
  <c r="F4" i="9"/>
  <c r="G11" i="12" s="1"/>
  <c r="F7" i="9"/>
  <c r="F3" i="9"/>
  <c r="G5" i="12"/>
  <c r="E4" i="11"/>
  <c r="E5" i="11"/>
  <c r="M12" i="7"/>
  <c r="M10" i="7"/>
  <c r="M4" i="7"/>
  <c r="M6" i="7"/>
  <c r="L9" i="7"/>
  <c r="L3" i="7"/>
  <c r="F12" i="6"/>
  <c r="F13" i="6"/>
  <c r="G13" i="6"/>
  <c r="B14" i="6"/>
  <c r="C14" i="6"/>
  <c r="E14" i="6"/>
  <c r="F14" i="6"/>
  <c r="E7" i="4"/>
  <c r="G13" i="3"/>
  <c r="G10" i="3"/>
  <c r="G9" i="3"/>
  <c r="G6" i="3"/>
  <c r="G5" i="3"/>
  <c r="F7" i="3"/>
  <c r="F11" i="3"/>
  <c r="F15" i="3"/>
  <c r="F19" i="3"/>
  <c r="L13" i="7" l="1"/>
  <c r="L11" i="7"/>
  <c r="E3" i="11"/>
  <c r="G6" i="12"/>
  <c r="F6" i="9"/>
  <c r="F10" i="9"/>
  <c r="J33" i="13"/>
  <c r="J39" i="13"/>
  <c r="G15" i="12"/>
  <c r="G17" i="12"/>
  <c r="G10" i="12"/>
  <c r="G19" i="12"/>
  <c r="G20" i="12"/>
  <c r="G12" i="12"/>
  <c r="J34" i="13"/>
  <c r="J36" i="13"/>
  <c r="J13" i="13"/>
  <c r="K15" i="13" s="1"/>
  <c r="J35" i="13"/>
  <c r="K20" i="13"/>
  <c r="K18" i="13"/>
  <c r="K13" i="13"/>
  <c r="J4" i="13"/>
  <c r="K9" i="13" s="1"/>
  <c r="J22" i="13"/>
  <c r="E6" i="11"/>
  <c r="L7" i="7"/>
  <c r="L15" i="7"/>
  <c r="L5" i="7"/>
  <c r="F20" i="3"/>
  <c r="G39" i="13"/>
  <c r="G38" i="13"/>
  <c r="G37" i="13"/>
  <c r="G36" i="13"/>
  <c r="G35" i="13"/>
  <c r="G34" i="13"/>
  <c r="G33" i="13"/>
  <c r="G32" i="13"/>
  <c r="G31" i="13"/>
  <c r="H30" i="13"/>
  <c r="L30" i="13" s="1"/>
  <c r="G30" i="13"/>
  <c r="H29" i="13"/>
  <c r="L29" i="13" s="1"/>
  <c r="G29" i="13"/>
  <c r="G28" i="13"/>
  <c r="H27" i="13"/>
  <c r="L27" i="13" s="1"/>
  <c r="G27" i="13"/>
  <c r="G26" i="13"/>
  <c r="H25" i="13"/>
  <c r="L25" i="13" s="1"/>
  <c r="G25" i="13"/>
  <c r="H24" i="13"/>
  <c r="L24" i="13" s="1"/>
  <c r="G24" i="13"/>
  <c r="H23" i="13"/>
  <c r="L23" i="13" s="1"/>
  <c r="G23" i="13"/>
  <c r="G22" i="13"/>
  <c r="H21" i="13"/>
  <c r="L21" i="13" s="1"/>
  <c r="G21" i="13"/>
  <c r="H20" i="13"/>
  <c r="L20" i="13" s="1"/>
  <c r="G20" i="13"/>
  <c r="H19" i="13"/>
  <c r="L19" i="13" s="1"/>
  <c r="G19" i="13"/>
  <c r="H18" i="13"/>
  <c r="L18" i="13" s="1"/>
  <c r="G18" i="13"/>
  <c r="G17" i="13"/>
  <c r="H16" i="13"/>
  <c r="L16" i="13" s="1"/>
  <c r="G16" i="13"/>
  <c r="H15" i="13"/>
  <c r="L15" i="13" s="1"/>
  <c r="G15" i="13"/>
  <c r="H14" i="13"/>
  <c r="L14" i="13" s="1"/>
  <c r="G14" i="13"/>
  <c r="G13" i="13"/>
  <c r="H12" i="13"/>
  <c r="L12" i="13" s="1"/>
  <c r="G12" i="13"/>
  <c r="H11" i="13"/>
  <c r="L11" i="13" s="1"/>
  <c r="G11" i="13"/>
  <c r="H10" i="13"/>
  <c r="L10" i="13" s="1"/>
  <c r="G10" i="13"/>
  <c r="H9" i="13"/>
  <c r="L9" i="13" s="1"/>
  <c r="G9" i="13"/>
  <c r="H8" i="13"/>
  <c r="L8" i="13" s="1"/>
  <c r="G8" i="13"/>
  <c r="H7" i="13"/>
  <c r="L7" i="13" s="1"/>
  <c r="G7" i="13"/>
  <c r="H6" i="13"/>
  <c r="L6" i="13" s="1"/>
  <c r="G6" i="13"/>
  <c r="H5" i="13"/>
  <c r="L5" i="13" s="1"/>
  <c r="G5" i="13"/>
  <c r="G4" i="13"/>
  <c r="F14" i="12"/>
  <c r="H14" i="12" s="1"/>
  <c r="E14" i="12"/>
  <c r="F13" i="12"/>
  <c r="E13" i="12"/>
  <c r="F9" i="12"/>
  <c r="H9" i="12" s="1"/>
  <c r="E9" i="12"/>
  <c r="F8" i="12"/>
  <c r="H8" i="12" s="1"/>
  <c r="E8" i="12"/>
  <c r="F4" i="12"/>
  <c r="H4" i="12" s="1"/>
  <c r="E4" i="12"/>
  <c r="F3" i="12"/>
  <c r="H3" i="12" s="1"/>
  <c r="E3" i="12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F10" i="10"/>
  <c r="F9" i="10"/>
  <c r="F8" i="10"/>
  <c r="F7" i="10"/>
  <c r="F6" i="10"/>
  <c r="F5" i="10"/>
  <c r="F4" i="10"/>
  <c r="F3" i="10"/>
  <c r="C10" i="9"/>
  <c r="E9" i="9"/>
  <c r="G9" i="9" s="1"/>
  <c r="D9" i="9"/>
  <c r="E8" i="9"/>
  <c r="G8" i="9" s="1"/>
  <c r="D8" i="9"/>
  <c r="E7" i="9"/>
  <c r="G7" i="9" s="1"/>
  <c r="D7" i="9"/>
  <c r="C6" i="9"/>
  <c r="E5" i="9"/>
  <c r="G5" i="9" s="1"/>
  <c r="D5" i="9"/>
  <c r="E16" i="12" s="1"/>
  <c r="E4" i="9"/>
  <c r="D4" i="9"/>
  <c r="E3" i="9"/>
  <c r="G3" i="9" s="1"/>
  <c r="D3" i="9"/>
  <c r="E6" i="12" s="1"/>
  <c r="K9" i="7"/>
  <c r="J9" i="7"/>
  <c r="I9" i="7"/>
  <c r="I14" i="7" s="1"/>
  <c r="K3" i="7"/>
  <c r="J3" i="7"/>
  <c r="J15" i="7" s="1"/>
  <c r="I3" i="7"/>
  <c r="D12" i="6"/>
  <c r="D14" i="6" s="1"/>
  <c r="F11" i="6"/>
  <c r="G11" i="6" s="1"/>
  <c r="D6" i="4"/>
  <c r="F6" i="4" s="1"/>
  <c r="C6" i="4"/>
  <c r="C7" i="4" s="1"/>
  <c r="B6" i="4"/>
  <c r="D5" i="4"/>
  <c r="F5" i="4" s="1"/>
  <c r="D4" i="4"/>
  <c r="F4" i="4" s="1"/>
  <c r="B4" i="4"/>
  <c r="D3" i="4"/>
  <c r="F3" i="4" s="1"/>
  <c r="B3" i="4"/>
  <c r="B7" i="4" s="1"/>
  <c r="E18" i="3"/>
  <c r="G18" i="3" s="1"/>
  <c r="D18" i="3"/>
  <c r="E17" i="3"/>
  <c r="G17" i="3" s="1"/>
  <c r="D17" i="3"/>
  <c r="D19" i="3" s="1"/>
  <c r="E15" i="3"/>
  <c r="G15" i="3" s="1"/>
  <c r="D15" i="3"/>
  <c r="E11" i="3"/>
  <c r="G11" i="3" s="1"/>
  <c r="D11" i="3"/>
  <c r="E7" i="3"/>
  <c r="G7" i="3" s="1"/>
  <c r="D7" i="3"/>
  <c r="K7" i="7" l="1"/>
  <c r="M3" i="7"/>
  <c r="L8" i="7"/>
  <c r="K15" i="7"/>
  <c r="M15" i="7" s="1"/>
  <c r="K5" i="7"/>
  <c r="M9" i="7"/>
  <c r="L14" i="7"/>
  <c r="D6" i="9"/>
  <c r="F11" i="12"/>
  <c r="H11" i="12" s="1"/>
  <c r="G4" i="9"/>
  <c r="C3" i="11"/>
  <c r="F15" i="12"/>
  <c r="H13" i="12"/>
  <c r="E15" i="12"/>
  <c r="H15" i="12"/>
  <c r="G21" i="12"/>
  <c r="G7" i="12"/>
  <c r="J31" i="13"/>
  <c r="K38" i="13" s="1"/>
  <c r="K26" i="13"/>
  <c r="K27" i="13"/>
  <c r="K29" i="13"/>
  <c r="K22" i="13"/>
  <c r="K30" i="13"/>
  <c r="K24" i="13"/>
  <c r="K23" i="13"/>
  <c r="K25" i="13"/>
  <c r="K28" i="13"/>
  <c r="K19" i="13"/>
  <c r="K21" i="13"/>
  <c r="K14" i="13"/>
  <c r="K17" i="13"/>
  <c r="K16" i="13"/>
  <c r="K5" i="13"/>
  <c r="K6" i="13"/>
  <c r="K7" i="13"/>
  <c r="K10" i="13"/>
  <c r="K12" i="13"/>
  <c r="K4" i="13"/>
  <c r="K8" i="13"/>
  <c r="K11" i="13"/>
  <c r="K33" i="13"/>
  <c r="K31" i="13"/>
  <c r="K34" i="13"/>
  <c r="K35" i="13"/>
  <c r="K36" i="13"/>
  <c r="K37" i="13"/>
  <c r="K39" i="13"/>
  <c r="K32" i="13"/>
  <c r="H22" i="13"/>
  <c r="F19" i="12"/>
  <c r="H19" i="12" s="1"/>
  <c r="E10" i="12"/>
  <c r="E10" i="9"/>
  <c r="G10" i="9" s="1"/>
  <c r="D4" i="11"/>
  <c r="F4" i="11" s="1"/>
  <c r="C5" i="11"/>
  <c r="D10" i="9"/>
  <c r="C6" i="11" s="1"/>
  <c r="K14" i="7"/>
  <c r="J11" i="7"/>
  <c r="I13" i="7"/>
  <c r="E17" i="12"/>
  <c r="J13" i="7"/>
  <c r="F6" i="12"/>
  <c r="H6" i="12" s="1"/>
  <c r="D20" i="3"/>
  <c r="D21" i="3" s="1"/>
  <c r="D22" i="3" s="1"/>
  <c r="D23" i="3" s="1"/>
  <c r="K8" i="7"/>
  <c r="E5" i="12"/>
  <c r="F10" i="12"/>
  <c r="E20" i="12"/>
  <c r="E7" i="12"/>
  <c r="F16" i="12"/>
  <c r="H16" i="12" s="1"/>
  <c r="H32" i="13"/>
  <c r="L32" i="13" s="1"/>
  <c r="H36" i="13"/>
  <c r="L36" i="13" s="1"/>
  <c r="E19" i="3"/>
  <c r="G19" i="3" s="1"/>
  <c r="E19" i="12"/>
  <c r="I15" i="7"/>
  <c r="I7" i="7"/>
  <c r="I5" i="7"/>
  <c r="I8" i="7"/>
  <c r="F5" i="12"/>
  <c r="H5" i="12" s="1"/>
  <c r="F18" i="12"/>
  <c r="H18" i="12" s="1"/>
  <c r="E11" i="12"/>
  <c r="E21" i="12" s="1"/>
  <c r="H34" i="13"/>
  <c r="L34" i="13" s="1"/>
  <c r="H38" i="13"/>
  <c r="L38" i="13" s="1"/>
  <c r="H13" i="13"/>
  <c r="J14" i="7"/>
  <c r="I21" i="13"/>
  <c r="E20" i="3"/>
  <c r="G20" i="3" s="1"/>
  <c r="D7" i="4"/>
  <c r="F7" i="4" s="1"/>
  <c r="G12" i="6"/>
  <c r="G14" i="6" s="1"/>
  <c r="E6" i="9"/>
  <c r="G6" i="9" s="1"/>
  <c r="C4" i="11"/>
  <c r="D5" i="11"/>
  <c r="F5" i="11" s="1"/>
  <c r="D3" i="11"/>
  <c r="F3" i="11" s="1"/>
  <c r="E18" i="12"/>
  <c r="H4" i="13"/>
  <c r="H33" i="13"/>
  <c r="L33" i="13" s="1"/>
  <c r="H35" i="13"/>
  <c r="L35" i="13" s="1"/>
  <c r="H37" i="13"/>
  <c r="L37" i="13" s="1"/>
  <c r="H39" i="13"/>
  <c r="L39" i="13" s="1"/>
  <c r="I16" i="13"/>
  <c r="I24" i="13"/>
  <c r="I26" i="13"/>
  <c r="I27" i="13"/>
  <c r="J8" i="7"/>
  <c r="K11" i="7"/>
  <c r="K13" i="7"/>
  <c r="J5" i="7"/>
  <c r="J7" i="7"/>
  <c r="I29" i="13"/>
  <c r="I30" i="13"/>
  <c r="I12" i="13" l="1"/>
  <c r="L4" i="13"/>
  <c r="I14" i="13"/>
  <c r="L13" i="13"/>
  <c r="F12" i="12"/>
  <c r="H12" i="12" s="1"/>
  <c r="H10" i="12"/>
  <c r="I22" i="13"/>
  <c r="L22" i="13"/>
  <c r="G22" i="12"/>
  <c r="I20" i="13"/>
  <c r="I23" i="13"/>
  <c r="I28" i="13"/>
  <c r="I25" i="13"/>
  <c r="I18" i="13"/>
  <c r="I10" i="13"/>
  <c r="I15" i="13"/>
  <c r="I8" i="13"/>
  <c r="E12" i="12"/>
  <c r="F21" i="12"/>
  <c r="H21" i="12" s="1"/>
  <c r="E21" i="3"/>
  <c r="E22" i="3" s="1"/>
  <c r="F17" i="12"/>
  <c r="H17" i="12" s="1"/>
  <c r="D6" i="11"/>
  <c r="F6" i="11" s="1"/>
  <c r="F20" i="12"/>
  <c r="H20" i="12" s="1"/>
  <c r="F7" i="12"/>
  <c r="H7" i="12" s="1"/>
  <c r="I4" i="13"/>
  <c r="I13" i="13"/>
  <c r="I19" i="13"/>
  <c r="I17" i="13"/>
  <c r="I7" i="13"/>
  <c r="I5" i="13"/>
  <c r="I6" i="13"/>
  <c r="I11" i="13"/>
  <c r="I9" i="13"/>
  <c r="H31" i="13"/>
  <c r="E22" i="12"/>
  <c r="I33" i="13" l="1"/>
  <c r="L31" i="13"/>
  <c r="I36" i="13"/>
  <c r="I32" i="13"/>
  <c r="I39" i="13"/>
  <c r="I38" i="13"/>
  <c r="I31" i="13"/>
  <c r="I35" i="13"/>
  <c r="I34" i="13"/>
  <c r="I37" i="13"/>
  <c r="F22" i="12"/>
  <c r="H22" i="12" s="1"/>
  <c r="E23" i="3" l="1"/>
  <c r="F21" i="3" s="1"/>
  <c r="F22" i="3" l="1"/>
  <c r="G22" i="3" s="1"/>
  <c r="G21" i="3"/>
  <c r="F23" i="3" l="1"/>
</calcChain>
</file>

<file path=xl/sharedStrings.xml><?xml version="1.0" encoding="utf-8"?>
<sst xmlns="http://schemas.openxmlformats.org/spreadsheetml/2006/main" count="262" uniqueCount="126">
  <si>
    <t>Gràfic 1-4.1.</t>
  </si>
  <si>
    <t>Quadre I-4.2.</t>
  </si>
  <si>
    <t>Quadre I-4.4.</t>
  </si>
  <si>
    <t>Quadre I-4.5.</t>
  </si>
  <si>
    <t xml:space="preserve">Gràfic I-4.4. </t>
  </si>
  <si>
    <t xml:space="preserve">Quadre I-4.7. </t>
  </si>
  <si>
    <t xml:space="preserve">Quadre IA-4.1. </t>
  </si>
  <si>
    <t>Any</t>
  </si>
  <si>
    <t>Producció interior (1)</t>
  </si>
  <si>
    <t>Port de Palma</t>
  </si>
  <si>
    <t>Entrades</t>
  </si>
  <si>
    <t>Sortides</t>
  </si>
  <si>
    <t>Net</t>
  </si>
  <si>
    <t>Port d'Alcúdia</t>
  </si>
  <si>
    <t>Menorca</t>
  </si>
  <si>
    <t>Pitiüses</t>
  </si>
  <si>
    <t>Proveïment net exterior (2)</t>
  </si>
  <si>
    <t>Consum aparent a les Balears</t>
  </si>
  <si>
    <t>Vendes (3)</t>
  </si>
  <si>
    <t>Variació aparent d'estocs</t>
  </si>
  <si>
    <t>Font: CEMEX, Autoritat Portuària de Balears, Servei de Ports i elaboració pròpia</t>
  </si>
  <si>
    <t>(1) La producció interior de les Balears procedeix de la font oficial CEMEX.</t>
  </si>
  <si>
    <t>(2) L'aprovisionament net exterior procedeix de l'Autoritat Portuària de Balears.</t>
  </si>
  <si>
    <t>Palma</t>
  </si>
  <si>
    <t>Alcúdia</t>
  </si>
  <si>
    <t>Illes Balears</t>
  </si>
  <si>
    <t>Font: Autoritat Portuària de Balears, Servei de Ports i elaboració pròpia</t>
  </si>
  <si>
    <t>Mallorca</t>
  </si>
  <si>
    <t>Total edificació</t>
  </si>
  <si>
    <t>Total enginyeria civil</t>
  </si>
  <si>
    <t>Total</t>
  </si>
  <si>
    <t>Administració de l’Estat</t>
  </si>
  <si>
    <t>Administració d'ens territorials</t>
  </si>
  <si>
    <t>Total començats</t>
  </si>
  <si>
    <t>Habitatges protegits</t>
  </si>
  <si>
    <t>% d'habitatges protegits</t>
  </si>
  <si>
    <t>Habitatges lliures</t>
  </si>
  <si>
    <t>% d'habitatges lliures</t>
  </si>
  <si>
    <t>% de var. sobre l'any anterior</t>
  </si>
  <si>
    <t>Total acabats</t>
  </si>
  <si>
    <t>Font: Direcció General d'Habitatge, Ministeri de Transports, Mobilitat i Agenda Urbana, i elaboració pròpia</t>
  </si>
  <si>
    <t>Habitatge lliure iniciat</t>
  </si>
  <si>
    <t>Habitatge lliure acabat</t>
  </si>
  <si>
    <t>HPO iniciat</t>
  </si>
  <si>
    <t>HPO acabat</t>
  </si>
  <si>
    <t>Obres visades</t>
  </si>
  <si>
    <t>Habitatges visats</t>
  </si>
  <si>
    <t>Font: COAIB</t>
  </si>
  <si>
    <t>Quadre I-4.7. Projectes visats pel COAIB a les Balears per illes (2018-2019)</t>
  </si>
  <si>
    <t>% variació 19/18</t>
  </si>
  <si>
    <t>es la misma que Quadre I-4.6.</t>
  </si>
  <si>
    <t>Obres</t>
  </si>
  <si>
    <t>Habitatges</t>
  </si>
  <si>
    <t>Quadre I-4.7. Projectes visats pel COAIB a les Illes Balears per illa (2017-2018)</t>
  </si>
  <si>
    <t>Total 2017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</si>
  <si>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</si>
  <si>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</si>
  <si>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</si>
  <si>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</si>
  <si>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</si>
  <si>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</si>
  <si>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</si>
  <si>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</si>
  <si>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</si>
  <si>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</si>
  <si>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</si>
  <si>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</si>
  <si>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 2018</t>
  </si>
  <si>
    <t>Font: COAIB.</t>
  </si>
  <si>
    <t>Ampliacions i reformes d’habitatges</t>
  </si>
  <si>
    <t>Indústria i turisme de rehabilitació</t>
  </si>
  <si>
    <t>Total reformes</t>
  </si>
  <si>
    <t>Total obres visades</t>
  </si>
  <si>
    <t>% d'ampliacions i reformes sobre el total</t>
  </si>
  <si>
    <r>
      <rPr>
        <sz val="8"/>
        <color rgb="FF000000"/>
        <rFont val="Arial"/>
        <family val="2"/>
        <charset val="1"/>
      </rPr>
      <t>m</t>
    </r>
    <r>
      <rPr>
        <vertAlign val="superscript"/>
        <sz val="8"/>
        <color rgb="FF000000"/>
        <rFont val="Arial"/>
        <family val="2"/>
        <charset val="1"/>
      </rPr>
      <t>2</t>
    </r>
  </si>
  <si>
    <t>%</t>
  </si>
  <si>
    <t>Edificis residencials</t>
  </si>
  <si>
    <t>Industrials</t>
  </si>
  <si>
    <t>Oficines i comerç</t>
  </si>
  <si>
    <t>Esportius</t>
  </si>
  <si>
    <t>Turisme i espectacles</t>
  </si>
  <si>
    <t>Sanitaris i benèfics</t>
  </si>
  <si>
    <t>Culturals i religiosos</t>
  </si>
  <si>
    <t>Altres projectes</t>
  </si>
  <si>
    <t>Memòria sobre l'economia, el treball i la societat de les Illes Balears 2021</t>
  </si>
  <si>
    <t>Quadre I-4.1. Consum aparent de ciment (tones) (2017-2021)</t>
  </si>
  <si>
    <t>% 21/20</t>
  </si>
  <si>
    <t>Quadre I-4.2. Entrades de materials de construcció (tones) (exclòs el ciment) (2018-2021)</t>
  </si>
  <si>
    <t>Variació 21/20</t>
  </si>
  <si>
    <t>Boletín estadístico online - Información estadística - Ministerio de Fomento</t>
  </si>
  <si>
    <t>Habitatges protegits i lliures a les Illes Balears per estat de l'obra (2006-2021)</t>
  </si>
  <si>
    <t>IGA</t>
  </si>
  <si>
    <t>Consum aparent de ciment (tones) (2017-2021)</t>
  </si>
  <si>
    <t>Entrades de materials de construcció (tones) (exclòs el ciment) (2018-2021)</t>
  </si>
  <si>
    <t>Licitació oficial en milers d'euros (2011-2021)</t>
  </si>
  <si>
    <t>Habitatges començats i habitatges acabats (2011-2021)</t>
  </si>
  <si>
    <t>Habitatges lliures a les Illes Balears (2006-2021)</t>
  </si>
  <si>
    <t>Habitatges protegits a les Illes Balears (2006-2021)</t>
  </si>
  <si>
    <t>Projectes visats pel COAIB a les Balears per illes (2018-2021)</t>
  </si>
  <si>
    <t>Percentatge de projectes visats pel COAIB: relació habitatge/obra (2018-2021)</t>
  </si>
  <si>
    <t>Ampliacions i reformes (2017-2021)</t>
  </si>
  <si>
    <t>Font: COAIB (2022)</t>
  </si>
  <si>
    <t>Font: COAIB (2022) i elaboració pròpia</t>
  </si>
  <si>
    <t>Gràfic I-4.2.</t>
  </si>
  <si>
    <t xml:space="preserve">Gràfic I-4.3. </t>
  </si>
  <si>
    <t>Quadre I-4.3.</t>
  </si>
  <si>
    <t xml:space="preserve">Quadre I-4.6. </t>
  </si>
  <si>
    <t>Quadre I-4.7. Ampliacions i reformes (2017-2021)</t>
  </si>
  <si>
    <t>Quadre I-4.4. Habitatges començats i habitatges acabats (2011-2021)</t>
  </si>
  <si>
    <t>Índex de taules i gràfics 1-4. Construcció</t>
  </si>
  <si>
    <t>Percentatge de variació de l'indicador global d'activitat en el sector de la construcció (1992-2021)</t>
  </si>
  <si>
    <t>Font: Elaboració pròpia a partir de les dades d'aprovisionament exterior de ciment de l'Autoritat Portuària de Balears i d'afiliació de la Seguerat Social</t>
  </si>
  <si>
    <t>—</t>
  </si>
  <si>
    <t>% 2021/2020</t>
  </si>
  <si>
    <r>
      <t xml:space="preserve">Font: Asociación de Empresas Constructoras y Concesionarias de Infraestructuras, SEOPAN (2021). </t>
    </r>
    <r>
      <rPr>
        <sz val="8"/>
        <color rgb="FF000000"/>
        <rFont val="Arial"/>
        <family val="2"/>
      </rPr>
      <t>Licitación</t>
    </r>
    <r>
      <rPr>
        <i/>
        <sz val="8"/>
        <color rgb="FF000000"/>
        <rFont val="Arial"/>
        <family val="2"/>
        <charset val="1"/>
      </rPr>
      <t xml:space="preserve">. </t>
    </r>
    <r>
      <rPr>
        <i/>
        <sz val="8"/>
        <color rgb="FF000000"/>
        <rFont val="Arial"/>
        <family val="2"/>
      </rPr>
      <t>Disponible a</t>
    </r>
    <r>
      <rPr>
        <sz val="8"/>
        <color rgb="FF000000"/>
        <rFont val="Arial"/>
        <family val="2"/>
      </rPr>
      <t>:</t>
    </r>
    <r>
      <rPr>
        <i/>
        <sz val="8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</rPr>
      <t xml:space="preserve">https://seopan.es/licitacion/ </t>
    </r>
    <r>
      <rPr>
        <i/>
        <sz val="8"/>
        <color rgb="FF000000"/>
        <rFont val="Arial"/>
        <family val="2"/>
      </rPr>
      <t>(Accedit: 2 juny 2022)</t>
    </r>
  </si>
  <si>
    <t>% variació 2021/2020</t>
  </si>
  <si>
    <t>Hab. començats - hab. acabats</t>
  </si>
  <si>
    <t>Quadre I-4.6. Percentatge de projectes visats pel COAIB: relació habitatge/obra (2018-2021)</t>
  </si>
  <si>
    <t>Quadre IA-4.1. Projectes visats per illes i tipologies (2017-2021)</t>
  </si>
  <si>
    <t>Projectes visats per illes i tipologies (2017-2021)</t>
  </si>
  <si>
    <t>(3) S'estima que les vendes de ciment són les mateixes que el consum aparent de ciment, excepte el 2020 per la situacíó puntual provocada per la crisi de la pandèmia i per les estimacions del sector</t>
  </si>
  <si>
    <t>Quadre I-4.3. Licitació oficial en milers d'euros (2011-2021)</t>
  </si>
  <si>
    <t xml:space="preserve"> Nota: N'estan exclosos els expedients d'informes, les valoracions, els informes d'urbanisme, els peritatges i d'altres de similars.</t>
  </si>
  <si>
    <t>Font: Direcció General d'Habitatge, Ministeri de Transports, Mobilitat i agenda urbana i elaboració pròpia</t>
  </si>
  <si>
    <t>Quadre I-4.5. Projectes visats pel COAIB a les Balears per illes (2018-2021)</t>
  </si>
  <si>
    <t>Quadre I-4.1.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</si>
</sst>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[$€]\ ;#,##0.00\ [$€]\ ;\-#\ [$€]\ ;@\ "/>
    <numFmt numFmtId="165" formatCode="#,##0.00\ [$€-C0A];[Red]\-#,##0.00\ [$€-C0A]"/>
    <numFmt numFmtId="166" formatCode="0.0"/>
    <numFmt numFmtId="167" formatCode="_-* #,##0.00&quot; €&quot;_-;\-* #,##0.00&quot; €&quot;_-;_-* \-??&quot; €&quot;_-;_-@_-"/>
    <numFmt numFmtId="168" formatCode="0.0%"/>
    <numFmt numFmtId="169" formatCode="0.00\ %"/>
    <numFmt numFmtId="170" formatCode="_-* #,##0.00_-;\-* #,##0.00_-;_-* \-??_-;_-@_-"/>
    <numFmt numFmtId="171" formatCode="_-* #,##0_-;\-* #,##0_-;_-* \-??_-;_-@_-"/>
    <numFmt numFmtId="172" formatCode="#,##0.000"/>
    <numFmt numFmtId="173" formatCode="#,##0_ ;\-#,##0\ "/>
    <numFmt numFmtId="174" formatCode="#,##0.0\ ;\(#,##0.0\)"/>
    <numFmt numFmtId="175" formatCode="#,##0.0"/>
  </numFmts>
  <fonts count="23" x14ac:knownFonts="1"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2"/>
      <color rgb="FF000000"/>
      <name val="Arial"/>
      <family val="2"/>
      <charset val="1"/>
    </font>
    <font>
      <u/>
      <sz val="12"/>
      <color rgb="FF0000FF"/>
      <name val="Arial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BFBFBF"/>
      <name val="Arial"/>
      <family val="2"/>
      <charset val="1"/>
    </font>
    <font>
      <sz val="8"/>
      <color rgb="FFBFBFBF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/>
      <sz val="8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rgb="FF969696"/>
      </patternFill>
    </fill>
    <fill>
      <patternFill patternType="solid">
        <fgColor rgb="FF7F7F7F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7F7F7F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170" fontId="15" fillId="0" borderId="0" applyBorder="0" applyProtection="0"/>
    <xf numFmtId="167" fontId="15" fillId="0" borderId="0" applyBorder="0" applyProtection="0"/>
    <xf numFmtId="9" fontId="15" fillId="0" borderId="0" applyBorder="0" applyProtection="0"/>
    <xf numFmtId="0" fontId="4" fillId="0" borderId="0" applyBorder="0" applyProtection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55">
    <xf numFmtId="0" fontId="0" fillId="0" borderId="0" xfId="0"/>
    <xf numFmtId="0" fontId="5" fillId="0" borderId="0" xfId="0" applyFont="1"/>
    <xf numFmtId="0" fontId="6" fillId="0" borderId="0" xfId="0" applyFont="1" applyAlignment="1"/>
    <xf numFmtId="166" fontId="6" fillId="0" borderId="0" xfId="0" applyNumberFormat="1" applyFont="1" applyAlignment="1"/>
    <xf numFmtId="0" fontId="7" fillId="4" borderId="0" xfId="0" applyFont="1" applyFill="1" applyAlignment="1"/>
    <xf numFmtId="0" fontId="8" fillId="4" borderId="0" xfId="0" applyFont="1" applyFill="1" applyAlignment="1"/>
    <xf numFmtId="0" fontId="9" fillId="0" borderId="0" xfId="0" applyFont="1" applyAlignment="1"/>
    <xf numFmtId="9" fontId="6" fillId="0" borderId="0" xfId="3" applyFont="1" applyBorder="1" applyAlignment="1" applyProtection="1"/>
    <xf numFmtId="166" fontId="6" fillId="0" borderId="0" xfId="2" applyNumberFormat="1" applyFont="1" applyBorder="1" applyAlignment="1" applyProtection="1"/>
    <xf numFmtId="0" fontId="10" fillId="0" borderId="2" xfId="0" applyFont="1" applyBorder="1" applyAlignment="1"/>
    <xf numFmtId="0" fontId="6" fillId="6" borderId="2" xfId="0" applyFont="1" applyFill="1" applyBorder="1" applyAlignment="1">
      <alignment horizontal="center"/>
    </xf>
    <xf numFmtId="0" fontId="10" fillId="7" borderId="2" xfId="0" applyFont="1" applyFill="1" applyBorder="1" applyAlignment="1"/>
    <xf numFmtId="3" fontId="10" fillId="7" borderId="2" xfId="0" applyNumberFormat="1" applyFont="1" applyFill="1" applyBorder="1" applyAlignment="1"/>
    <xf numFmtId="0" fontId="6" fillId="0" borderId="2" xfId="0" applyFont="1" applyBorder="1" applyAlignment="1"/>
    <xf numFmtId="168" fontId="6" fillId="0" borderId="2" xfId="0" applyNumberFormat="1" applyFont="1" applyBorder="1" applyAlignment="1"/>
    <xf numFmtId="3" fontId="6" fillId="0" borderId="2" xfId="0" applyNumberFormat="1" applyFont="1" applyBorder="1" applyAlignment="1"/>
    <xf numFmtId="3" fontId="6" fillId="0" borderId="0" xfId="0" applyNumberFormat="1" applyFont="1" applyAlignment="1"/>
    <xf numFmtId="168" fontId="6" fillId="0" borderId="0" xfId="3" applyNumberFormat="1" applyFont="1" applyBorder="1" applyAlignment="1" applyProtection="1"/>
    <xf numFmtId="169" fontId="6" fillId="0" borderId="0" xfId="0" applyNumberFormat="1" applyFont="1" applyBorder="1" applyAlignment="1"/>
    <xf numFmtId="168" fontId="6" fillId="0" borderId="2" xfId="0" applyNumberFormat="1" applyFont="1" applyBorder="1" applyAlignment="1">
      <alignment horizontal="right" vertical="center"/>
    </xf>
    <xf numFmtId="168" fontId="10" fillId="7" borderId="2" xfId="0" applyNumberFormat="1" applyFont="1" applyFill="1" applyBorder="1" applyAlignment="1"/>
    <xf numFmtId="0" fontId="6" fillId="0" borderId="0" xfId="0" applyFont="1" applyAlignment="1"/>
    <xf numFmtId="3" fontId="6" fillId="0" borderId="2" xfId="0" applyNumberFormat="1" applyFont="1" applyBorder="1" applyAlignment="1"/>
    <xf numFmtId="168" fontId="6" fillId="0" borderId="2" xfId="0" applyNumberFormat="1" applyFont="1" applyBorder="1" applyAlignment="1">
      <alignment horizontal="right"/>
    </xf>
    <xf numFmtId="0" fontId="6" fillId="0" borderId="0" xfId="0" applyFont="1" applyAlignment="1" applyProtection="1"/>
    <xf numFmtId="0" fontId="10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/>
    <xf numFmtId="171" fontId="6" fillId="0" borderId="0" xfId="1" applyNumberFormat="1" applyFont="1" applyBorder="1" applyAlignment="1" applyProtection="1"/>
    <xf numFmtId="3" fontId="6" fillId="0" borderId="0" xfId="0" applyNumberFormat="1" applyFont="1" applyBorder="1" applyAlignment="1"/>
    <xf numFmtId="168" fontId="6" fillId="0" borderId="0" xfId="0" applyNumberFormat="1" applyFont="1" applyBorder="1" applyAlignment="1"/>
    <xf numFmtId="3" fontId="6" fillId="0" borderId="0" xfId="0" applyNumberFormat="1" applyFont="1" applyBorder="1" applyAlignment="1"/>
    <xf numFmtId="172" fontId="6" fillId="0" borderId="0" xfId="0" applyNumberFormat="1" applyFont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168" fontId="6" fillId="0" borderId="2" xfId="3" applyNumberFormat="1" applyFont="1" applyBorder="1" applyAlignment="1" applyProtection="1"/>
    <xf numFmtId="3" fontId="6" fillId="0" borderId="2" xfId="0" applyNumberFormat="1" applyFont="1" applyBorder="1" applyAlignment="1">
      <alignment horizontal="right"/>
    </xf>
    <xf numFmtId="168" fontId="10" fillId="7" borderId="2" xfId="3" applyNumberFormat="1" applyFont="1" applyFill="1" applyBorder="1" applyAlignment="1" applyProtection="1"/>
    <xf numFmtId="0" fontId="10" fillId="7" borderId="2" xfId="0" applyFont="1" applyFill="1" applyBorder="1" applyAlignment="1" applyProtection="1"/>
    <xf numFmtId="3" fontId="10" fillId="7" borderId="2" xfId="0" applyNumberFormat="1" applyFont="1" applyFill="1" applyBorder="1" applyAlignment="1" applyProtection="1">
      <alignment horizontal="right"/>
    </xf>
    <xf numFmtId="3" fontId="10" fillId="7" borderId="2" xfId="0" applyNumberFormat="1" applyFont="1" applyFill="1" applyBorder="1" applyAlignment="1">
      <alignment horizontal="right"/>
    </xf>
    <xf numFmtId="168" fontId="10" fillId="7" borderId="2" xfId="0" applyNumberFormat="1" applyFont="1" applyFill="1" applyBorder="1" applyAlignment="1">
      <alignment horizontal="right"/>
    </xf>
    <xf numFmtId="0" fontId="6" fillId="0" borderId="2" xfId="0" applyFont="1" applyBorder="1" applyAlignment="1" applyProtection="1"/>
    <xf numFmtId="3" fontId="6" fillId="0" borderId="2" xfId="0" applyNumberFormat="1" applyFont="1" applyBorder="1" applyAlignment="1" applyProtection="1">
      <alignment horizontal="right"/>
    </xf>
    <xf numFmtId="168" fontId="6" fillId="0" borderId="2" xfId="3" applyNumberFormat="1" applyFont="1" applyBorder="1" applyAlignment="1" applyProtection="1">
      <alignment horizontal="right"/>
    </xf>
    <xf numFmtId="168" fontId="6" fillId="0" borderId="2" xfId="0" applyNumberFormat="1" applyFont="1" applyBorder="1" applyAlignment="1" applyProtection="1">
      <alignment horizontal="right"/>
    </xf>
    <xf numFmtId="169" fontId="6" fillId="0" borderId="2" xfId="0" applyNumberFormat="1" applyFont="1" applyBorder="1" applyAlignment="1">
      <alignment horizontal="right"/>
    </xf>
    <xf numFmtId="10" fontId="6" fillId="0" borderId="2" xfId="3" applyNumberFormat="1" applyFont="1" applyBorder="1" applyAlignment="1" applyProtection="1">
      <alignment horizontal="right"/>
    </xf>
    <xf numFmtId="0" fontId="6" fillId="0" borderId="2" xfId="0" applyFont="1" applyBorder="1" applyAlignment="1">
      <alignment horizontal="right"/>
    </xf>
    <xf numFmtId="4" fontId="10" fillId="7" borderId="2" xfId="0" applyNumberFormat="1" applyFont="1" applyFill="1" applyBorder="1" applyAlignment="1" applyProtection="1">
      <alignment horizontal="right"/>
    </xf>
    <xf numFmtId="4" fontId="10" fillId="7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 applyProtection="1"/>
    <xf numFmtId="0" fontId="6" fillId="0" borderId="0" xfId="0" applyFont="1" applyBorder="1" applyAlignment="1" applyProtection="1"/>
    <xf numFmtId="173" fontId="6" fillId="0" borderId="2" xfId="0" applyNumberFormat="1" applyFont="1" applyBorder="1" applyAlignment="1" applyProtection="1"/>
    <xf numFmtId="173" fontId="10" fillId="7" borderId="2" xfId="0" applyNumberFormat="1" applyFont="1" applyFill="1" applyBorder="1" applyAlignment="1" applyProtection="1"/>
    <xf numFmtId="168" fontId="10" fillId="8" borderId="2" xfId="3" applyNumberFormat="1" applyFont="1" applyFill="1" applyBorder="1" applyAlignment="1" applyProtection="1"/>
    <xf numFmtId="173" fontId="6" fillId="0" borderId="0" xfId="0" applyNumberFormat="1" applyFont="1" applyAlignment="1"/>
    <xf numFmtId="0" fontId="6" fillId="0" borderId="0" xfId="0" applyFont="1"/>
    <xf numFmtId="3" fontId="6" fillId="0" borderId="2" xfId="0" applyNumberFormat="1" applyFont="1" applyBorder="1"/>
    <xf numFmtId="4" fontId="6" fillId="0" borderId="2" xfId="0" applyNumberFormat="1" applyFont="1" applyBorder="1"/>
    <xf numFmtId="3" fontId="10" fillId="7" borderId="2" xfId="0" applyNumberFormat="1" applyFont="1" applyFill="1" applyBorder="1"/>
    <xf numFmtId="4" fontId="10" fillId="7" borderId="2" xfId="0" applyNumberFormat="1" applyFont="1" applyFill="1" applyBorder="1"/>
    <xf numFmtId="0" fontId="11" fillId="0" borderId="0" xfId="0" applyFont="1"/>
    <xf numFmtId="0" fontId="13" fillId="0" borderId="2" xfId="0" applyFont="1" applyBorder="1" applyAlignment="1"/>
    <xf numFmtId="0" fontId="13" fillId="6" borderId="2" xfId="0" applyFont="1" applyFill="1" applyBorder="1" applyAlignment="1">
      <alignment horizontal="center"/>
    </xf>
    <xf numFmtId="0" fontId="12" fillId="7" borderId="2" xfId="0" applyFont="1" applyFill="1" applyBorder="1" applyAlignment="1"/>
    <xf numFmtId="3" fontId="12" fillId="7" borderId="2" xfId="0" applyNumberFormat="1" applyFont="1" applyFill="1" applyBorder="1" applyAlignment="1"/>
    <xf numFmtId="3" fontId="13" fillId="0" borderId="2" xfId="0" applyNumberFormat="1" applyFont="1" applyBorder="1" applyAlignment="1"/>
    <xf numFmtId="0" fontId="13" fillId="0" borderId="3" xfId="0" applyFont="1" applyBorder="1" applyAlignment="1" applyProtection="1">
      <alignment horizontal="center"/>
    </xf>
    <xf numFmtId="166" fontId="6" fillId="0" borderId="2" xfId="0" applyNumberFormat="1" applyFont="1" applyBorder="1" applyAlignment="1"/>
    <xf numFmtId="37" fontId="6" fillId="0" borderId="0" xfId="0" applyNumberFormat="1" applyFont="1" applyAlignment="1" applyProtection="1"/>
    <xf numFmtId="0" fontId="10" fillId="0" borderId="0" xfId="0" applyFont="1" applyBorder="1" applyAlignment="1" applyProtection="1"/>
    <xf numFmtId="37" fontId="6" fillId="0" borderId="2" xfId="0" applyNumberFormat="1" applyFont="1" applyBorder="1" applyAlignment="1" applyProtection="1"/>
    <xf numFmtId="168" fontId="6" fillId="0" borderId="2" xfId="0" applyNumberFormat="1" applyFont="1" applyBorder="1" applyAlignment="1" applyProtection="1"/>
    <xf numFmtId="174" fontId="6" fillId="0" borderId="0" xfId="0" applyNumberFormat="1" applyFont="1" applyAlignment="1" applyProtection="1"/>
    <xf numFmtId="39" fontId="6" fillId="0" borderId="0" xfId="0" applyNumberFormat="1" applyFont="1" applyAlignment="1" applyProtection="1"/>
    <xf numFmtId="168" fontId="6" fillId="0" borderId="0" xfId="0" applyNumberFormat="1" applyFont="1" applyBorder="1" applyAlignment="1" applyProtection="1"/>
    <xf numFmtId="37" fontId="6" fillId="0" borderId="0" xfId="0" applyNumberFormat="1" applyFont="1" applyBorder="1" applyAlignment="1" applyProtection="1"/>
    <xf numFmtId="37" fontId="10" fillId="7" borderId="2" xfId="0" applyNumberFormat="1" applyFont="1" applyFill="1" applyBorder="1" applyAlignment="1" applyProtection="1"/>
    <xf numFmtId="175" fontId="10" fillId="7" borderId="2" xfId="0" applyNumberFormat="1" applyFont="1" applyFill="1" applyBorder="1" applyAlignment="1" applyProtection="1"/>
    <xf numFmtId="168" fontId="10" fillId="7" borderId="5" xfId="3" applyNumberFormat="1" applyFont="1" applyFill="1" applyBorder="1" applyAlignment="1" applyProtection="1"/>
    <xf numFmtId="37" fontId="10" fillId="0" borderId="0" xfId="0" applyNumberFormat="1" applyFont="1" applyBorder="1" applyAlignment="1" applyProtection="1"/>
    <xf numFmtId="175" fontId="6" fillId="0" borderId="2" xfId="0" applyNumberFormat="1" applyFont="1" applyBorder="1" applyAlignment="1" applyProtection="1"/>
    <xf numFmtId="39" fontId="6" fillId="0" borderId="0" xfId="0" applyNumberFormat="1" applyFont="1" applyBorder="1" applyAlignment="1" applyProtection="1"/>
    <xf numFmtId="2" fontId="6" fillId="0" borderId="0" xfId="0" applyNumberFormat="1" applyFont="1" applyBorder="1" applyAlignment="1" applyProtection="1"/>
    <xf numFmtId="4" fontId="6" fillId="0" borderId="0" xfId="0" applyNumberFormat="1" applyFont="1" applyBorder="1" applyAlignment="1"/>
    <xf numFmtId="4" fontId="6" fillId="0" borderId="0" xfId="0" applyNumberFormat="1" applyFont="1" applyBorder="1" applyAlignment="1"/>
    <xf numFmtId="39" fontId="10" fillId="0" borderId="0" xfId="0" applyNumberFormat="1" applyFont="1" applyBorder="1" applyAlignment="1" applyProtection="1"/>
    <xf numFmtId="2" fontId="10" fillId="0" borderId="0" xfId="0" applyNumberFormat="1" applyFont="1" applyBorder="1" applyAlignment="1" applyProtection="1"/>
    <xf numFmtId="0" fontId="16" fillId="0" borderId="0" xfId="4" applyFont="1"/>
    <xf numFmtId="2" fontId="10" fillId="7" borderId="2" xfId="0" applyNumberFormat="1" applyFont="1" applyFill="1" applyBorder="1" applyAlignment="1"/>
    <xf numFmtId="2" fontId="6" fillId="0" borderId="2" xfId="0" applyNumberFormat="1" applyFont="1" applyBorder="1" applyAlignment="1"/>
    <xf numFmtId="168" fontId="6" fillId="0" borderId="0" xfId="3" applyNumberFormat="1" applyFont="1"/>
    <xf numFmtId="0" fontId="6" fillId="0" borderId="0" xfId="0" applyFont="1" applyAlignment="1">
      <alignment horizontal="right" vertical="center"/>
    </xf>
    <xf numFmtId="0" fontId="17" fillId="0" borderId="2" xfId="4" applyFont="1" applyFill="1" applyBorder="1" applyAlignment="1" applyProtection="1"/>
    <xf numFmtId="0" fontId="17" fillId="0" borderId="2" xfId="4" applyFont="1" applyFill="1" applyBorder="1" applyProtection="1"/>
    <xf numFmtId="0" fontId="20" fillId="0" borderId="0" xfId="0" applyFont="1" applyAlignment="1"/>
    <xf numFmtId="0" fontId="20" fillId="0" borderId="0" xfId="0" applyFont="1" applyBorder="1" applyAlignment="1"/>
    <xf numFmtId="0" fontId="6" fillId="0" borderId="2" xfId="0" applyFont="1" applyBorder="1" applyAlignment="1" applyProtection="1"/>
    <xf numFmtId="0" fontId="9" fillId="0" borderId="3" xfId="0" applyFont="1" applyBorder="1" applyAlignment="1"/>
    <xf numFmtId="0" fontId="10" fillId="10" borderId="2" xfId="0" applyFont="1" applyFill="1" applyBorder="1" applyAlignment="1"/>
    <xf numFmtId="3" fontId="10" fillId="10" borderId="2" xfId="0" applyNumberFormat="1" applyFont="1" applyFill="1" applyBorder="1" applyAlignment="1"/>
    <xf numFmtId="168" fontId="6" fillId="11" borderId="2" xfId="0" applyNumberFormat="1" applyFont="1" applyFill="1" applyBorder="1" applyAlignment="1">
      <alignment horizontal="right" vertical="center"/>
    </xf>
    <xf numFmtId="0" fontId="10" fillId="7" borderId="2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10" fillId="11" borderId="2" xfId="0" applyFont="1" applyFill="1" applyBorder="1" applyAlignment="1" applyProtection="1"/>
    <xf numFmtId="37" fontId="10" fillId="11" borderId="2" xfId="0" applyNumberFormat="1" applyFont="1" applyFill="1" applyBorder="1" applyAlignment="1" applyProtection="1"/>
    <xf numFmtId="168" fontId="10" fillId="11" borderId="2" xfId="0" applyNumberFormat="1" applyFont="1" applyFill="1" applyBorder="1" applyAlignment="1" applyProtection="1"/>
    <xf numFmtId="0" fontId="10" fillId="12" borderId="2" xfId="0" applyFont="1" applyFill="1" applyBorder="1" applyAlignment="1" applyProtection="1"/>
    <xf numFmtId="168" fontId="10" fillId="12" borderId="2" xfId="0" applyNumberFormat="1" applyFont="1" applyFill="1" applyBorder="1" applyAlignment="1" applyProtection="1"/>
    <xf numFmtId="0" fontId="6" fillId="6" borderId="2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wrapText="1"/>
    </xf>
    <xf numFmtId="169" fontId="6" fillId="6" borderId="2" xfId="3" applyNumberFormat="1" applyFont="1" applyFill="1" applyBorder="1" applyAlignment="1" applyProtection="1">
      <alignment horizontal="center"/>
    </xf>
    <xf numFmtId="0" fontId="18" fillId="0" borderId="2" xfId="0" applyFont="1" applyFill="1" applyBorder="1"/>
    <xf numFmtId="0" fontId="21" fillId="0" borderId="0" xfId="0" applyFont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9" fillId="9" borderId="3" xfId="0" applyFont="1" applyFill="1" applyBorder="1" applyAlignment="1" applyProtection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 wrapText="1"/>
    </xf>
    <xf numFmtId="0" fontId="10" fillId="12" borderId="5" xfId="0" applyFont="1" applyFill="1" applyBorder="1" applyAlignment="1">
      <alignment horizontal="left"/>
    </xf>
    <xf numFmtId="0" fontId="10" fillId="12" borderId="6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7" fillId="5" borderId="2" xfId="0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</xf>
    <xf numFmtId="0" fontId="13" fillId="0" borderId="2" xfId="0" applyFont="1" applyBorder="1" applyAlignment="1"/>
    <xf numFmtId="0" fontId="13" fillId="6" borderId="2" xfId="0" applyFont="1" applyFill="1" applyBorder="1" applyAlignment="1">
      <alignment horizontal="center"/>
    </xf>
    <xf numFmtId="0" fontId="6" fillId="6" borderId="2" xfId="0" applyFont="1" applyFill="1" applyBorder="1" applyAlignment="1" applyProtection="1">
      <alignment vertical="center" wrapText="1"/>
    </xf>
    <xf numFmtId="0" fontId="7" fillId="5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6" fillId="0" borderId="2" xfId="0" applyFont="1" applyBorder="1" applyAlignment="1" applyProtection="1"/>
    <xf numFmtId="0" fontId="6" fillId="6" borderId="2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</cellXfs>
  <cellStyles count="10">
    <cellStyle name="Encapçalament 1" xfId="7" xr:uid="{00000000-0005-0000-0000-000008000000}"/>
    <cellStyle name="Euro" xfId="5" xr:uid="{00000000-0005-0000-0000-000006000000}"/>
    <cellStyle name="Heading 3" xfId="6" xr:uid="{00000000-0005-0000-0000-000007000000}"/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  <cellStyle name="Result 4" xfId="8" xr:uid="{00000000-0005-0000-0000-000009000000}"/>
    <cellStyle name="Resultat2" xfId="9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78787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D05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ca-ES" sz="700" b="0">
                <a:latin typeface="Arial" panose="020B0604020202020204" pitchFamily="34" charset="0"/>
                <a:cs typeface="Arial" panose="020B0604020202020204" pitchFamily="34" charset="0"/>
              </a:rPr>
              <a:t>Gràfic I-4.1. Percentatge de variació de l'indicador global d'activitat en el sector de la construcció (1992-2021)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098112328128597E-2"/>
          <c:y val="0.19891500904159101"/>
          <c:w val="0.89087625262176595"/>
          <c:h val="0.611934900542495"/>
        </c:manualLayout>
      </c:layout>
      <c:lineChart>
        <c:grouping val="standard"/>
        <c:varyColors val="0"/>
        <c:ser>
          <c:idx val="0"/>
          <c:order val="0"/>
          <c:spPr>
            <a:ln w="25560">
              <a:solidFill>
                <a:srgbClr val="FFCC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'G1'!$A$2:$A$31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'G1'!$B$2:$B$31</c:f>
              <c:numCache>
                <c:formatCode>0.0</c:formatCode>
                <c:ptCount val="30"/>
                <c:pt idx="0">
                  <c:v>-12.53</c:v>
                </c:pt>
                <c:pt idx="1">
                  <c:v>-14.43</c:v>
                </c:pt>
                <c:pt idx="2">
                  <c:v>10.19</c:v>
                </c:pt>
                <c:pt idx="3">
                  <c:v>8.83</c:v>
                </c:pt>
                <c:pt idx="4">
                  <c:v>6.25</c:v>
                </c:pt>
                <c:pt idx="5" formatCode="General">
                  <c:v>8.3000000000000007</c:v>
                </c:pt>
                <c:pt idx="6" formatCode="General">
                  <c:v>15.7</c:v>
                </c:pt>
                <c:pt idx="7" formatCode="General">
                  <c:v>20.7</c:v>
                </c:pt>
                <c:pt idx="8" formatCode="General">
                  <c:v>9.6999999999999993</c:v>
                </c:pt>
                <c:pt idx="9" formatCode="General">
                  <c:v>5.3</c:v>
                </c:pt>
                <c:pt idx="10">
                  <c:v>-3.22</c:v>
                </c:pt>
                <c:pt idx="11">
                  <c:v>-7.87</c:v>
                </c:pt>
                <c:pt idx="12">
                  <c:v>-1.84</c:v>
                </c:pt>
                <c:pt idx="13">
                  <c:v>2.38</c:v>
                </c:pt>
                <c:pt idx="14" formatCode="General">
                  <c:v>12.6</c:v>
                </c:pt>
                <c:pt idx="15" formatCode="General">
                  <c:v>-3.7</c:v>
                </c:pt>
                <c:pt idx="16">
                  <c:v>-20</c:v>
                </c:pt>
                <c:pt idx="17">
                  <c:v>-33.19</c:v>
                </c:pt>
                <c:pt idx="18">
                  <c:v>-20.8</c:v>
                </c:pt>
                <c:pt idx="19">
                  <c:v>-6.5333881053448302</c:v>
                </c:pt>
                <c:pt idx="20">
                  <c:v>-0.414307256724322</c:v>
                </c:pt>
                <c:pt idx="21">
                  <c:v>9.1585999196276404</c:v>
                </c:pt>
                <c:pt idx="22">
                  <c:v>24.121278140886002</c:v>
                </c:pt>
                <c:pt idx="23">
                  <c:v>18.432692780262499</c:v>
                </c:pt>
                <c:pt idx="24">
                  <c:v>-0.23528665505622201</c:v>
                </c:pt>
                <c:pt idx="25">
                  <c:v>5.1621640156962201</c:v>
                </c:pt>
                <c:pt idx="26">
                  <c:v>-3.2252191314805199</c:v>
                </c:pt>
                <c:pt idx="27">
                  <c:v>-2.3038050106102301</c:v>
                </c:pt>
                <c:pt idx="28" formatCode="General">
                  <c:v>0.8</c:v>
                </c:pt>
                <c:pt idx="29" formatCode="General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1-314B-91EC-3AB8F7C2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6095425"/>
        <c:axId val="95507240"/>
      </c:lineChart>
      <c:catAx>
        <c:axId val="609542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5507240"/>
        <c:crosses val="autoZero"/>
        <c:auto val="1"/>
        <c:lblAlgn val="ctr"/>
        <c:lblOffset val="100"/>
        <c:noMultiLvlLbl val="0"/>
      </c:catAx>
      <c:valAx>
        <c:axId val="95507240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prstDash val="sysDash"/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6095425"/>
        <c:crosses val="autoZero"/>
        <c:crossBetween val="between"/>
      </c:valAx>
      <c:spPr>
        <a:solidFill>
          <a:srgbClr val="FFFFFF"/>
        </a:solidFill>
        <a:ln w="12600">
          <a:solidFill>
            <a:srgbClr val="C0C0C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b="0"/>
            </a:pPr>
            <a:r>
              <a:rPr lang="ca-ES" sz="700" b="0">
                <a:latin typeface="Arial" panose="020B0604020202020204" pitchFamily="34" charset="0"/>
                <a:cs typeface="Arial" panose="020B0604020202020204" pitchFamily="34" charset="0"/>
              </a:rPr>
              <a:t>Gràfic I-4.2. Licitació oficial en milers d'euros (2011-2021)</a:t>
            </a:r>
          </a:p>
        </c:rich>
      </c:tx>
      <c:layout>
        <c:manualLayout>
          <c:xMode val="edge"/>
          <c:yMode val="edge"/>
          <c:x val="0.19799760154818521"/>
          <c:y val="5.0159958924128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694800301432"/>
          <c:y val="0.25094876660341597"/>
          <c:w val="0.791635267520723"/>
          <c:h val="0.59408602150537604"/>
        </c:manualLayout>
      </c:layout>
      <c:areaChart>
        <c:grouping val="stacked"/>
        <c:varyColors val="1"/>
        <c:ser>
          <c:idx val="0"/>
          <c:order val="0"/>
          <c:tx>
            <c:strRef>
              <c:f>'Q3-G2'!$B$2</c:f>
              <c:strCache>
                <c:ptCount val="1"/>
                <c:pt idx="0">
                  <c:v>Total edificació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'Q3-G2'!$B$3:$B$13</c:f>
              <c:numCache>
                <c:formatCode>#,##0</c:formatCode>
                <c:ptCount val="11"/>
                <c:pt idx="0">
                  <c:v>83862</c:v>
                </c:pt>
                <c:pt idx="1">
                  <c:v>22405</c:v>
                </c:pt>
                <c:pt idx="2">
                  <c:v>41900</c:v>
                </c:pt>
                <c:pt idx="3">
                  <c:v>47770</c:v>
                </c:pt>
                <c:pt idx="4">
                  <c:v>70191</c:v>
                </c:pt>
                <c:pt idx="5">
                  <c:v>66132</c:v>
                </c:pt>
                <c:pt idx="6">
                  <c:v>140500</c:v>
                </c:pt>
                <c:pt idx="7">
                  <c:v>153660</c:v>
                </c:pt>
                <c:pt idx="8">
                  <c:v>533210</c:v>
                </c:pt>
                <c:pt idx="9">
                  <c:v>260034</c:v>
                </c:pt>
                <c:pt idx="10">
                  <c:v>316520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A-ED47-BCE2-AC4D18DD7636}"/>
            </c:ext>
          </c:extLst>
        </c:ser>
        <c:ser>
          <c:idx val="1"/>
          <c:order val="1"/>
          <c:tx>
            <c:strRef>
              <c:f>'Q3-G2'!$C$2</c:f>
              <c:strCache>
                <c:ptCount val="1"/>
                <c:pt idx="0">
                  <c:v>Total enginyeria civil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'Q3-G2'!$C$3:$C$13</c:f>
              <c:numCache>
                <c:formatCode>#,##0</c:formatCode>
                <c:ptCount val="11"/>
                <c:pt idx="0">
                  <c:v>80090</c:v>
                </c:pt>
                <c:pt idx="1">
                  <c:v>103886</c:v>
                </c:pt>
                <c:pt idx="2">
                  <c:v>154775</c:v>
                </c:pt>
                <c:pt idx="3">
                  <c:v>130206</c:v>
                </c:pt>
                <c:pt idx="4">
                  <c:v>193028</c:v>
                </c:pt>
                <c:pt idx="5">
                  <c:v>267685</c:v>
                </c:pt>
                <c:pt idx="6">
                  <c:v>226050</c:v>
                </c:pt>
                <c:pt idx="7">
                  <c:v>251900</c:v>
                </c:pt>
                <c:pt idx="8">
                  <c:v>186880</c:v>
                </c:pt>
                <c:pt idx="9">
                  <c:v>176245</c:v>
                </c:pt>
                <c:pt idx="10">
                  <c:v>269137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A-ED47-BCE2-AC4D18DD7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54492"/>
        <c:axId val="49587346"/>
      </c:areaChart>
      <c:catAx>
        <c:axId val="903544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49587346"/>
        <c:crosses val="autoZero"/>
        <c:auto val="1"/>
        <c:lblAlgn val="ctr"/>
        <c:lblOffset val="100"/>
        <c:noMultiLvlLbl val="0"/>
      </c:catAx>
      <c:valAx>
        <c:axId val="49587346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0354492"/>
        <c:crosses val="autoZero"/>
        <c:crossBetween val="midCat"/>
      </c:valAx>
      <c:spPr>
        <a:solidFill>
          <a:srgbClr val="FFFFFF"/>
        </a:solidFill>
        <a:ln w="1260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17156914209253299"/>
          <c:y val="0.13807531380753099"/>
          <c:w val="0.67402115176779398"/>
          <c:h val="6.6945606694560705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64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ca-ES"/>
        </a:p>
      </c:txPr>
    </c:legend>
    <c:plotVisOnly val="1"/>
    <c:dispBlanksAs val="zero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ca-ES" sz="700" b="0">
                <a:latin typeface="Arial" panose="020B0604020202020204" pitchFamily="34" charset="0"/>
                <a:cs typeface="Arial" panose="020B0604020202020204" pitchFamily="34" charset="0"/>
              </a:rPr>
              <a:t>Gràfic I-4.4. Habitatges protegits a les Illes Balears (2006-2021)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280845975637104E-2"/>
          <c:y val="0.26545253863134699"/>
          <c:w val="0.879381212166505"/>
          <c:h val="0.57395143487858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'G3-G4'!$F$3</c:f>
              <c:strCache>
                <c:ptCount val="1"/>
                <c:pt idx="0">
                  <c:v>HPO iniciat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'G3-G4'!$E$4:$E$19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'G3-G4'!$F$4:$F$19</c:f>
              <c:numCache>
                <c:formatCode>#,##0</c:formatCode>
                <c:ptCount val="16"/>
                <c:pt idx="0">
                  <c:v>578</c:v>
                </c:pt>
                <c:pt idx="1">
                  <c:v>417</c:v>
                </c:pt>
                <c:pt idx="2">
                  <c:v>154</c:v>
                </c:pt>
                <c:pt idx="3">
                  <c:v>498</c:v>
                </c:pt>
                <c:pt idx="4">
                  <c:v>1009</c:v>
                </c:pt>
                <c:pt idx="5">
                  <c:v>528</c:v>
                </c:pt>
                <c:pt idx="6">
                  <c:v>118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114</c:v>
                </c:pt>
                <c:pt idx="11">
                  <c:v>0</c:v>
                </c:pt>
                <c:pt idx="12" formatCode="General">
                  <c:v>2</c:v>
                </c:pt>
                <c:pt idx="13" formatCode="General">
                  <c:v>385</c:v>
                </c:pt>
                <c:pt idx="14" formatCode="General">
                  <c:v>273</c:v>
                </c:pt>
                <c:pt idx="15" formatCode="General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A-164D-84AB-D1AD67C2CF3C}"/>
            </c:ext>
          </c:extLst>
        </c:ser>
        <c:ser>
          <c:idx val="1"/>
          <c:order val="1"/>
          <c:tx>
            <c:strRef>
              <c:f>'G3-G4'!$G$3</c:f>
              <c:strCache>
                <c:ptCount val="1"/>
                <c:pt idx="0">
                  <c:v>HPO acabat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'G3-G4'!$E$4:$E$19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'G3-G4'!$G$4:$G$19</c:f>
              <c:numCache>
                <c:formatCode>#,##0</c:formatCode>
                <c:ptCount val="16"/>
                <c:pt idx="0">
                  <c:v>405</c:v>
                </c:pt>
                <c:pt idx="1">
                  <c:v>385</c:v>
                </c:pt>
                <c:pt idx="2">
                  <c:v>239</c:v>
                </c:pt>
                <c:pt idx="3">
                  <c:v>339</c:v>
                </c:pt>
                <c:pt idx="4">
                  <c:v>391</c:v>
                </c:pt>
                <c:pt idx="5">
                  <c:v>288</c:v>
                </c:pt>
                <c:pt idx="6">
                  <c:v>69</c:v>
                </c:pt>
                <c:pt idx="7">
                  <c:v>168</c:v>
                </c:pt>
                <c:pt idx="8">
                  <c:v>32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18</c:v>
                </c:pt>
                <c:pt idx="14" formatCode="General">
                  <c:v>9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A-164D-84AB-D1AD67C2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5677733"/>
        <c:axId val="36895276"/>
      </c:barChart>
      <c:catAx>
        <c:axId val="8567773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36895276"/>
        <c:crosses val="autoZero"/>
        <c:auto val="1"/>
        <c:lblAlgn val="ctr"/>
        <c:lblOffset val="100"/>
        <c:noMultiLvlLbl val="0"/>
      </c:catAx>
      <c:valAx>
        <c:axId val="36895276"/>
        <c:scaling>
          <c:orientation val="minMax"/>
        </c:scaling>
        <c:delete val="0"/>
        <c:axPos val="l"/>
        <c:majorGridlines>
          <c:spPr>
            <a:ln w="9360">
              <a:solidFill>
                <a:srgbClr val="C0C0C0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85677733"/>
        <c:crosses val="autoZero"/>
        <c:crossBetween val="between"/>
      </c:valAx>
      <c:spPr>
        <a:noFill/>
        <a:ln w="324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29323990464494698"/>
          <c:y val="0.11261963466687901"/>
          <c:w val="0.42996075031905401"/>
          <c:h val="8.5045202682997895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ca-ES" sz="700" b="0">
                <a:latin typeface="Arial" panose="020B0604020202020204" pitchFamily="34" charset="0"/>
                <a:cs typeface="Arial" panose="020B0604020202020204" pitchFamily="34" charset="0"/>
              </a:rPr>
              <a:t>Gràfic I-4.3. Habitatges lliures a les Illes Balears (2006-2021</a:t>
            </a:r>
            <a:r>
              <a:rPr lang="ca-ES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509138381201E-2"/>
          <c:y val="0.24917600527356601"/>
          <c:w val="0.87670438062083"/>
          <c:h val="0.5898154251812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'G3-G4'!$B$3</c:f>
              <c:strCache>
                <c:ptCount val="1"/>
                <c:pt idx="0">
                  <c:v>Habitatge lliure iniciat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'G3-G4'!$A$4:$A$19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'G3-G4'!$B$4:$B$19</c:f>
              <c:numCache>
                <c:formatCode>#,##0</c:formatCode>
                <c:ptCount val="16"/>
                <c:pt idx="0">
                  <c:v>12795</c:v>
                </c:pt>
                <c:pt idx="1">
                  <c:v>13475</c:v>
                </c:pt>
                <c:pt idx="2">
                  <c:v>5886</c:v>
                </c:pt>
                <c:pt idx="3">
                  <c:v>2187</c:v>
                </c:pt>
                <c:pt idx="4">
                  <c:v>1894</c:v>
                </c:pt>
                <c:pt idx="5">
                  <c:v>1580</c:v>
                </c:pt>
                <c:pt idx="6">
                  <c:v>934</c:v>
                </c:pt>
                <c:pt idx="7">
                  <c:v>989</c:v>
                </c:pt>
                <c:pt idx="8">
                  <c:v>896</c:v>
                </c:pt>
                <c:pt idx="9">
                  <c:v>1636</c:v>
                </c:pt>
                <c:pt idx="10">
                  <c:v>1977</c:v>
                </c:pt>
                <c:pt idx="11">
                  <c:v>1791</c:v>
                </c:pt>
                <c:pt idx="12">
                  <c:v>3073</c:v>
                </c:pt>
                <c:pt idx="13" formatCode="General">
                  <c:v>3112</c:v>
                </c:pt>
                <c:pt idx="14" formatCode="General">
                  <c:v>2976</c:v>
                </c:pt>
                <c:pt idx="15" formatCode="General">
                  <c:v>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9342-BA02-E5D016AD27BA}"/>
            </c:ext>
          </c:extLst>
        </c:ser>
        <c:ser>
          <c:idx val="1"/>
          <c:order val="1"/>
          <c:tx>
            <c:strRef>
              <c:f>'G3-G4'!$C$3</c:f>
              <c:strCache>
                <c:ptCount val="1"/>
                <c:pt idx="0">
                  <c:v>Habitatge lliure acabat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'G3-G4'!$A$4:$A$19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'G3-G4'!$C$4:$C$19</c:f>
              <c:numCache>
                <c:formatCode>#,##0</c:formatCode>
                <c:ptCount val="16"/>
                <c:pt idx="0">
                  <c:v>10172</c:v>
                </c:pt>
                <c:pt idx="1">
                  <c:v>12162</c:v>
                </c:pt>
                <c:pt idx="2">
                  <c:v>11827</c:v>
                </c:pt>
                <c:pt idx="3">
                  <c:v>9071</c:v>
                </c:pt>
                <c:pt idx="4">
                  <c:v>5171</c:v>
                </c:pt>
                <c:pt idx="5">
                  <c:v>3364</c:v>
                </c:pt>
                <c:pt idx="6">
                  <c:v>2559</c:v>
                </c:pt>
                <c:pt idx="7">
                  <c:v>1226</c:v>
                </c:pt>
                <c:pt idx="8">
                  <c:v>1186</c:v>
                </c:pt>
                <c:pt idx="9">
                  <c:v>1426</c:v>
                </c:pt>
                <c:pt idx="10">
                  <c:v>1009</c:v>
                </c:pt>
                <c:pt idx="11">
                  <c:v>1842</c:v>
                </c:pt>
                <c:pt idx="12">
                  <c:v>1699</c:v>
                </c:pt>
                <c:pt idx="13" formatCode="General">
                  <c:v>2144</c:v>
                </c:pt>
                <c:pt idx="14" formatCode="General">
                  <c:v>3143</c:v>
                </c:pt>
                <c:pt idx="15" formatCode="General">
                  <c:v>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B-9342-BA02-E5D016AD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10893"/>
        <c:axId val="84217901"/>
      </c:barChart>
      <c:catAx>
        <c:axId val="230108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ca-ES"/>
          </a:p>
        </c:txPr>
        <c:crossAx val="84217901"/>
        <c:crosses val="autoZero"/>
        <c:auto val="1"/>
        <c:lblAlgn val="ctr"/>
        <c:lblOffset val="100"/>
        <c:noMultiLvlLbl val="0"/>
      </c:catAx>
      <c:valAx>
        <c:axId val="8421790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ca-ES"/>
          </a:p>
        </c:txPr>
        <c:crossAx val="23010893"/>
        <c:crosses val="autoZero"/>
        <c:crossBetween val="between"/>
      </c:valAx>
      <c:spPr>
        <a:noFill/>
        <a:ln w="324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193504824693988"/>
          <c:y val="0.128967004124484"/>
          <c:w val="0.59249353428627605"/>
          <c:h val="7.7030371203599499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85680</xdr:rowOff>
    </xdr:from>
    <xdr:to>
      <xdr:col>0</xdr:col>
      <xdr:colOff>892800</xdr:colOff>
      <xdr:row>2</xdr:row>
      <xdr:rowOff>185925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85680"/>
          <a:ext cx="892800" cy="480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773603</xdr:colOff>
      <xdr:row>2</xdr:row>
      <xdr:rowOff>176569</xdr:rowOff>
    </xdr:from>
    <xdr:to>
      <xdr:col>12</xdr:col>
      <xdr:colOff>6803</xdr:colOff>
      <xdr:row>23</xdr:row>
      <xdr:rowOff>114229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962115</xdr:colOff>
      <xdr:row>16</xdr:row>
      <xdr:rowOff>180825</xdr:rowOff>
    </xdr:from>
    <xdr:to>
      <xdr:col>6</xdr:col>
      <xdr:colOff>47355</xdr:colOff>
      <xdr:row>32</xdr:row>
      <xdr:rowOff>171105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10800</xdr:colOff>
      <xdr:row>2</xdr:row>
      <xdr:rowOff>33120</xdr:rowOff>
    </xdr:from>
    <xdr:to>
      <xdr:col>16</xdr:col>
      <xdr:colOff>16200</xdr:colOff>
      <xdr:row>15</xdr:row>
      <xdr:rowOff>132120</xdr:rowOff>
    </xdr:to>
    <xdr:graphicFrame macro="">
      <xdr:nvGraphicFramePr>
        <xdr:cNvPr id="5" name="Gráfico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34055</xdr:colOff>
      <xdr:row>20</xdr:row>
      <xdr:rowOff>0</xdr:rowOff>
    </xdr:from>
    <xdr:to>
      <xdr:col>9</xdr:col>
      <xdr:colOff>28655</xdr:colOff>
      <xdr:row>35</xdr:row>
      <xdr:rowOff>50111</xdr:rowOff>
    </xdr:to>
    <xdr:graphicFrame macro="">
      <xdr:nvGraphicFramePr>
        <xdr:cNvPr id="6" name="Gráfico 6">
          <a:extLst>
            <a:ext uri="{FF2B5EF4-FFF2-40B4-BE49-F238E27FC236}">
              <a16:creationId xmlns:a16="http://schemas.microsoft.com/office/drawing/2014/main" id="{C0AB00EF-B5F4-3B4E-ADC9-DA1A7D69C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397800</xdr:colOff>
      <xdr:row>27</xdr:row>
      <xdr:rowOff>95400</xdr:rowOff>
    </xdr:from>
    <xdr:to>
      <xdr:col>5</xdr:col>
      <xdr:colOff>592560</xdr:colOff>
      <xdr:row>29</xdr:row>
      <xdr:rowOff>102960</xdr:rowOff>
    </xdr:to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872720" y="3952800"/>
          <a:ext cx="1998720" cy="293400"/>
        </a:xfrm>
        <a:prstGeom prst="rect">
          <a:avLst/>
        </a:prstGeom>
        <a:gradFill rotWithShape="0">
          <a:gsLst>
            <a:gs pos="0">
              <a:srgbClr val="9C2F2C"/>
            </a:gs>
            <a:gs pos="100000">
              <a:srgbClr val="CB3D39"/>
            </a:gs>
          </a:gsLst>
          <a:lin ang="16200000"/>
        </a:gradFill>
        <a:ln>
          <a:solidFill>
            <a:srgbClr val="BE4B48"/>
          </a:solidFill>
          <a:round/>
        </a:ln>
        <a:effectLst>
          <a:outerShdw blurRad="39960" dist="23040" dir="5400000" rotWithShape="0">
            <a:srgbClr val="000000">
              <a:alpha val="35000"/>
            </a:srgb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/>
      </xdr:style>
      <xdr:txBody>
        <a:bodyPr vertOverflow="clip" horzOverflow="clip" wrap="none" lIns="90000" tIns="45000" rIns="90000" bIns="45000">
          <a:spAutoFit/>
        </a:bodyPr>
        <a:lstStyle/>
        <a:p>
          <a:pPr>
            <a:lnSpc>
              <a:spcPct val="100000"/>
            </a:lnSpc>
          </a:pPr>
          <a:r>
            <a:rPr lang="ca-ES" sz="1600" b="0" strike="noStrike" spc="-1">
              <a:solidFill>
                <a:srgbClr val="FFFFFF"/>
              </a:solidFill>
              <a:latin typeface="Calibri"/>
            </a:rPr>
            <a:t>Ignorar aquesta taula!</a:t>
          </a:r>
          <a:endParaRPr lang="ca-ES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fomento.gob.es/BoletinOnline2/?nivel=2&amp;orden=3100000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zoomScaleNormal="100" workbookViewId="0">
      <selection activeCell="A17" sqref="A17"/>
    </sheetView>
  </sheetViews>
  <sheetFormatPr baseColWidth="10" defaultColWidth="10.5546875" defaultRowHeight="15" x14ac:dyDescent="0.2"/>
  <cols>
    <col min="1" max="1" width="14.44140625" customWidth="1"/>
    <col min="7" max="7" width="15.21875" customWidth="1"/>
  </cols>
  <sheetData>
    <row r="2" spans="1:7" x14ac:dyDescent="0.2">
      <c r="B2" s="119" t="s">
        <v>84</v>
      </c>
      <c r="C2" s="119"/>
      <c r="D2" s="119"/>
      <c r="E2" s="119"/>
      <c r="F2" s="119"/>
      <c r="G2" s="119"/>
    </row>
    <row r="5" spans="1:7" x14ac:dyDescent="0.2">
      <c r="A5" s="120" t="s">
        <v>109</v>
      </c>
      <c r="B5" s="120"/>
      <c r="C5" s="120"/>
      <c r="D5" s="120"/>
      <c r="E5" s="120"/>
      <c r="F5" s="120"/>
      <c r="G5" s="120"/>
    </row>
    <row r="6" spans="1:7" ht="15.75" customHeight="1" x14ac:dyDescent="0.2">
      <c r="A6" s="97" t="s">
        <v>125</v>
      </c>
      <c r="B6" s="118" t="s">
        <v>92</v>
      </c>
      <c r="C6" s="118"/>
      <c r="D6" s="118"/>
      <c r="E6" s="118"/>
      <c r="F6" s="118"/>
      <c r="G6" s="118"/>
    </row>
    <row r="7" spans="1:7" x14ac:dyDescent="0.2">
      <c r="A7" s="97" t="s">
        <v>1</v>
      </c>
      <c r="B7" s="118" t="s">
        <v>93</v>
      </c>
      <c r="C7" s="118"/>
      <c r="D7" s="118"/>
      <c r="E7" s="118"/>
      <c r="F7" s="118"/>
      <c r="G7" s="118"/>
    </row>
    <row r="8" spans="1:7" x14ac:dyDescent="0.2">
      <c r="A8" s="98" t="s">
        <v>105</v>
      </c>
      <c r="B8" s="118" t="s">
        <v>94</v>
      </c>
      <c r="C8" s="118"/>
      <c r="D8" s="118"/>
      <c r="E8" s="118"/>
      <c r="F8" s="118"/>
      <c r="G8" s="118"/>
    </row>
    <row r="9" spans="1:7" x14ac:dyDescent="0.2">
      <c r="A9" s="98" t="s">
        <v>2</v>
      </c>
      <c r="B9" s="118" t="s">
        <v>95</v>
      </c>
      <c r="C9" s="118"/>
      <c r="D9" s="118"/>
      <c r="E9" s="118"/>
      <c r="F9" s="118"/>
      <c r="G9" s="118"/>
    </row>
    <row r="10" spans="1:7" x14ac:dyDescent="0.2">
      <c r="A10" s="98" t="s">
        <v>3</v>
      </c>
      <c r="B10" s="118" t="s">
        <v>98</v>
      </c>
      <c r="C10" s="118"/>
      <c r="D10" s="118"/>
      <c r="E10" s="118"/>
      <c r="F10" s="118"/>
      <c r="G10" s="118"/>
    </row>
    <row r="11" spans="1:7" x14ac:dyDescent="0.2">
      <c r="A11" s="98" t="s">
        <v>106</v>
      </c>
      <c r="B11" s="118" t="s">
        <v>99</v>
      </c>
      <c r="C11" s="118"/>
      <c r="D11" s="118"/>
      <c r="E11" s="118"/>
      <c r="F11" s="118"/>
      <c r="G11" s="118"/>
    </row>
    <row r="12" spans="1:7" x14ac:dyDescent="0.2">
      <c r="A12" s="98" t="s">
        <v>5</v>
      </c>
      <c r="B12" s="118" t="s">
        <v>100</v>
      </c>
      <c r="C12" s="118"/>
      <c r="D12" s="118"/>
      <c r="E12" s="118"/>
      <c r="F12" s="118"/>
      <c r="G12" s="118"/>
    </row>
    <row r="13" spans="1:7" x14ac:dyDescent="0.2">
      <c r="A13" s="97" t="s">
        <v>0</v>
      </c>
      <c r="B13" s="121" t="s">
        <v>110</v>
      </c>
      <c r="C13" s="121"/>
      <c r="D13" s="121"/>
      <c r="E13" s="121"/>
      <c r="F13" s="121"/>
      <c r="G13" s="121"/>
    </row>
    <row r="14" spans="1:7" x14ac:dyDescent="0.2">
      <c r="A14" s="98" t="s">
        <v>103</v>
      </c>
      <c r="B14" s="118" t="s">
        <v>94</v>
      </c>
      <c r="C14" s="118"/>
      <c r="D14" s="118"/>
      <c r="E14" s="118"/>
      <c r="F14" s="118"/>
      <c r="G14" s="118"/>
    </row>
    <row r="15" spans="1:7" x14ac:dyDescent="0.2">
      <c r="A15" s="98" t="s">
        <v>104</v>
      </c>
      <c r="B15" s="118" t="s">
        <v>96</v>
      </c>
      <c r="C15" s="118"/>
      <c r="D15" s="118"/>
      <c r="E15" s="118"/>
      <c r="F15" s="118"/>
      <c r="G15" s="118"/>
    </row>
    <row r="16" spans="1:7" x14ac:dyDescent="0.2">
      <c r="A16" s="98" t="s">
        <v>4</v>
      </c>
      <c r="B16" s="118" t="s">
        <v>97</v>
      </c>
      <c r="C16" s="118"/>
      <c r="D16" s="118"/>
      <c r="E16" s="118"/>
      <c r="F16" s="118"/>
      <c r="G16" s="118"/>
    </row>
    <row r="17" spans="1:7" x14ac:dyDescent="0.2">
      <c r="A17" s="98" t="s">
        <v>6</v>
      </c>
      <c r="B17" s="118" t="s">
        <v>119</v>
      </c>
      <c r="C17" s="118"/>
      <c r="D17" s="118"/>
      <c r="E17" s="118"/>
      <c r="F17" s="118"/>
      <c r="G17" s="118"/>
    </row>
    <row r="18" spans="1:7" ht="15.75" x14ac:dyDescent="0.25">
      <c r="A18" s="1"/>
    </row>
  </sheetData>
  <mergeCells count="14">
    <mergeCell ref="B17:G17"/>
    <mergeCell ref="B12:G12"/>
    <mergeCell ref="B13:G13"/>
    <mergeCell ref="B14:G14"/>
    <mergeCell ref="B15:G15"/>
    <mergeCell ref="B16:G16"/>
    <mergeCell ref="B9:G9"/>
    <mergeCell ref="B10:G10"/>
    <mergeCell ref="B11:G11"/>
    <mergeCell ref="B2:G2"/>
    <mergeCell ref="A5:G5"/>
    <mergeCell ref="B6:G6"/>
    <mergeCell ref="B7:G7"/>
    <mergeCell ref="B8:G8"/>
  </mergeCells>
  <hyperlinks>
    <hyperlink ref="A17" location="'QA1'!A1" display="Quadre IA-4.1. " xr:uid="{00000000-0004-0000-0000-00000D000000}"/>
    <hyperlink ref="A6" location="'Q1'!A1" display="Quadre 1-4.1." xr:uid="{5F04B586-2F4C-42FE-8929-287EBA3856AD}"/>
    <hyperlink ref="A7" location="'Q2'!A1" display="Quadre I-4.2." xr:uid="{A6D83833-D3E0-4F0D-8476-A873D3A26164}"/>
    <hyperlink ref="A8" location="'Q3-G2'!A1" display="Quadre I-4.3." xr:uid="{7BB2E6EA-2DB8-43E4-9F99-679BB4DCEB05}"/>
    <hyperlink ref="A9" location="'Q4'!A1" display="Quadre I-4.4." xr:uid="{9034F65B-063E-4B93-92F9-8BE7DD377BA8}"/>
    <hyperlink ref="A10" location="'Q5-'!A1" display="Quadre I-4.5." xr:uid="{4DA71777-7A1E-494D-9A3B-D388F8E57A38}"/>
    <hyperlink ref="A11" location="'Q6-'!A1" display="Quadre I-4.6. " xr:uid="{A5C2CB1B-DB0C-472A-ABDF-468525D5D267}"/>
    <hyperlink ref="A12" location="'Q7-'!A1" display="Quadre I-4.7. " xr:uid="{0A0ECDFC-31A9-4982-A42E-A5C07F7C5098}"/>
    <hyperlink ref="A13" location="'G1'!A1" display="Gràfic 1-4.1." xr:uid="{D6E709FA-9250-4CB4-9B3D-692E6D1EC913}"/>
    <hyperlink ref="A14" location="'Q3-G2'!A1" display="Gràfic I-4.2." xr:uid="{9A2C1EEC-44A2-4965-9273-51BD5EF7EC14}"/>
    <hyperlink ref="A15" location="'G3-G4'!A1" display="Gràfic I-4.3. " xr:uid="{1B0F1EF5-3B6C-4748-AB08-3A2A11B3D78A}"/>
    <hyperlink ref="A16" location="'G3-G4'!A1" display="Gràfic I-4.4. " xr:uid="{04D6F206-3A7A-4791-A9C3-2E547A09A527}"/>
  </hyperlink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K7"/>
  <sheetViews>
    <sheetView zoomScale="110" zoomScaleNormal="110" workbookViewId="0">
      <selection activeCell="B2" sqref="B2:F2"/>
    </sheetView>
  </sheetViews>
  <sheetFormatPr baseColWidth="10" defaultColWidth="11.5546875" defaultRowHeight="15" x14ac:dyDescent="0.2"/>
  <cols>
    <col min="1" max="1" width="10.33203125" style="60" customWidth="1"/>
    <col min="2" max="5" width="9.33203125" style="60" customWidth="1"/>
    <col min="6" max="6" width="13.6640625" style="60" customWidth="1"/>
    <col min="7" max="1025" width="11.5546875" style="60"/>
  </cols>
  <sheetData>
    <row r="1" spans="1:6" x14ac:dyDescent="0.2">
      <c r="A1" s="135" t="s">
        <v>117</v>
      </c>
      <c r="B1" s="135"/>
      <c r="C1" s="135"/>
      <c r="D1" s="135"/>
      <c r="E1" s="135"/>
      <c r="F1" s="135"/>
    </row>
    <row r="2" spans="1:6" x14ac:dyDescent="0.2">
      <c r="A2" s="9"/>
      <c r="B2" s="10">
        <v>2018</v>
      </c>
      <c r="C2" s="10">
        <v>2019</v>
      </c>
      <c r="D2" s="10">
        <v>2020</v>
      </c>
      <c r="E2" s="10">
        <v>2021</v>
      </c>
      <c r="F2" s="117" t="s">
        <v>115</v>
      </c>
    </row>
    <row r="3" spans="1:6" x14ac:dyDescent="0.2">
      <c r="A3" s="42" t="s">
        <v>27</v>
      </c>
      <c r="B3" s="72">
        <v>0.616098353050336</v>
      </c>
      <c r="C3" s="72">
        <f>+'Q5-'!D7/'Q5-'!D3</f>
        <v>0.67374250115366863</v>
      </c>
      <c r="D3" s="72">
        <f>+'Q5-'!E7/'Q5-'!E3</f>
        <v>0.67888563049853368</v>
      </c>
      <c r="E3" s="94">
        <f>+'Q5-'!F7/'Q5-'!F3</f>
        <v>0.61314196008073563</v>
      </c>
      <c r="F3" s="14">
        <f>+E3/D3-1</f>
        <v>-9.6840568520385029E-2</v>
      </c>
    </row>
    <row r="4" spans="1:6" x14ac:dyDescent="0.2">
      <c r="A4" s="42" t="s">
        <v>14</v>
      </c>
      <c r="B4" s="72">
        <v>0.24961240310077501</v>
      </c>
      <c r="C4" s="72">
        <f>+'Q5-'!D8/'Q5-'!D4</f>
        <v>0.38495575221238937</v>
      </c>
      <c r="D4" s="72">
        <f>+'Q5-'!E8/'Q5-'!E4</f>
        <v>0.21008403361344538</v>
      </c>
      <c r="E4" s="94">
        <f>+'Q5-'!F8/'Q5-'!F4</f>
        <v>0.29455081001472755</v>
      </c>
      <c r="F4" s="14">
        <f t="shared" ref="F4:F5" si="0">+E4/D4-1</f>
        <v>0.40206185567010322</v>
      </c>
    </row>
    <row r="5" spans="1:6" x14ac:dyDescent="0.2">
      <c r="A5" s="42" t="s">
        <v>15</v>
      </c>
      <c r="B5" s="72">
        <v>1.0333919156414799</v>
      </c>
      <c r="C5" s="72">
        <f>+'Q5-'!D9/'Q5-'!D5</f>
        <v>1.2218045112781954</v>
      </c>
      <c r="D5" s="72">
        <f>+'Q5-'!E9/'Q5-'!E5</f>
        <v>1.2705223880597014</v>
      </c>
      <c r="E5" s="94">
        <f>+'Q5-'!F9/'Q5-'!F5</f>
        <v>0.94865810968494746</v>
      </c>
      <c r="F5" s="14">
        <f t="shared" si="0"/>
        <v>-0.25333223672374172</v>
      </c>
    </row>
    <row r="6" spans="1:6" x14ac:dyDescent="0.2">
      <c r="A6" s="38" t="s">
        <v>25</v>
      </c>
      <c r="B6" s="93">
        <v>0.61628959276018103</v>
      </c>
      <c r="C6" s="93">
        <f>+'Q5-'!D10/'Q5-'!D6</f>
        <v>0.69101731601731597</v>
      </c>
      <c r="D6" s="93">
        <f>+'Q5-'!E10/'Q5-'!E6</f>
        <v>0.68619567298487461</v>
      </c>
      <c r="E6" s="93">
        <f>+'Q5-'!F10/'Q5-'!F6</f>
        <v>0.6250208507089241</v>
      </c>
      <c r="F6" s="20">
        <f>+E6/D6-1</f>
        <v>-8.915069663707853E-2</v>
      </c>
    </row>
    <row r="7" spans="1:6" x14ac:dyDescent="0.2">
      <c r="A7" s="130" t="s">
        <v>102</v>
      </c>
      <c r="B7" s="130"/>
      <c r="C7" s="130"/>
      <c r="D7" s="130"/>
      <c r="E7" s="130"/>
      <c r="F7" s="130"/>
    </row>
  </sheetData>
  <mergeCells count="2">
    <mergeCell ref="A1:F1"/>
    <mergeCell ref="A7:F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MK26"/>
  <sheetViews>
    <sheetView zoomScaleNormal="100" workbookViewId="0">
      <selection activeCell="A3" sqref="A3:A22"/>
    </sheetView>
  </sheetViews>
  <sheetFormatPr baseColWidth="10" defaultColWidth="9.109375" defaultRowHeight="15" x14ac:dyDescent="0.2"/>
  <cols>
    <col min="1" max="1" width="7.6640625" style="2" customWidth="1"/>
    <col min="2" max="2" width="27" style="2" customWidth="1"/>
    <col min="3" max="6" width="7.6640625" style="2" customWidth="1"/>
    <col min="7" max="7" width="7.6640625" style="21" customWidth="1"/>
    <col min="8" max="8" width="13.44140625" style="2" customWidth="1"/>
    <col min="9" max="13" width="7.6640625" style="2" customWidth="1"/>
    <col min="14" max="14" width="14" style="2" customWidth="1"/>
    <col min="15" max="20" width="11.109375" style="2" customWidth="1"/>
    <col min="21" max="1025" width="9.109375" style="2"/>
  </cols>
  <sheetData>
    <row r="1" spans="1:10" x14ac:dyDescent="0.2">
      <c r="A1" s="135" t="s">
        <v>107</v>
      </c>
      <c r="B1" s="135"/>
      <c r="C1" s="135"/>
      <c r="D1" s="135"/>
      <c r="E1" s="135"/>
      <c r="F1" s="135"/>
      <c r="G1" s="135"/>
      <c r="H1" s="135"/>
      <c r="I1" s="73"/>
      <c r="J1" s="24"/>
    </row>
    <row r="2" spans="1:10" x14ac:dyDescent="0.2">
      <c r="A2" s="136"/>
      <c r="B2" s="136"/>
      <c r="C2" s="113">
        <v>2017</v>
      </c>
      <c r="D2" s="113">
        <v>2018</v>
      </c>
      <c r="E2" s="113">
        <v>2019</v>
      </c>
      <c r="F2" s="113">
        <v>2020</v>
      </c>
      <c r="G2" s="113">
        <v>2021</v>
      </c>
      <c r="H2" s="113" t="s">
        <v>115</v>
      </c>
      <c r="I2" s="74"/>
      <c r="J2" s="74"/>
    </row>
    <row r="3" spans="1:10" ht="11.25" customHeight="1" x14ac:dyDescent="0.2">
      <c r="A3" s="145" t="s">
        <v>27</v>
      </c>
      <c r="B3" s="42" t="s">
        <v>69</v>
      </c>
      <c r="C3" s="75">
        <v>1823</v>
      </c>
      <c r="D3" s="75">
        <v>1857</v>
      </c>
      <c r="E3" s="75">
        <f>158+192+166+171+188+155+209+95+151+168+146+166</f>
        <v>1965</v>
      </c>
      <c r="F3" s="75">
        <f>151+158+168+145+121+134+189+109+171+175+193+174</f>
        <v>1888</v>
      </c>
      <c r="G3" s="75">
        <f>128+174+216+164+204+139+192+96+147+158+158+219</f>
        <v>1995</v>
      </c>
      <c r="H3" s="76">
        <f>G3/F3-1</f>
        <v>5.6673728813559254E-2</v>
      </c>
      <c r="I3" s="73"/>
      <c r="J3" s="73"/>
    </row>
    <row r="4" spans="1:10" x14ac:dyDescent="0.2">
      <c r="A4" s="145"/>
      <c r="B4" s="42" t="s">
        <v>70</v>
      </c>
      <c r="C4" s="75">
        <v>409</v>
      </c>
      <c r="D4" s="75">
        <v>358</v>
      </c>
      <c r="E4" s="75">
        <f>36+32+20+32+29+25+40+13+32+33+27+28</f>
        <v>347</v>
      </c>
      <c r="F4" s="75">
        <f>21+24+38+25+18+22+20+20+19+20+31+20</f>
        <v>278</v>
      </c>
      <c r="G4" s="75">
        <f>15+30+40+21+23+26+31+11+11+20+23+36</f>
        <v>287</v>
      </c>
      <c r="H4" s="76">
        <f>G4/F4-1</f>
        <v>3.2374100719424481E-2</v>
      </c>
      <c r="I4" s="73"/>
      <c r="J4" s="73"/>
    </row>
    <row r="5" spans="1:10" x14ac:dyDescent="0.2">
      <c r="A5" s="145"/>
      <c r="B5" s="108" t="s">
        <v>71</v>
      </c>
      <c r="C5" s="109">
        <v>2232</v>
      </c>
      <c r="D5" s="109">
        <v>2215</v>
      </c>
      <c r="E5" s="109">
        <f>+E3+E4</f>
        <v>2312</v>
      </c>
      <c r="F5" s="109">
        <f>+F3+F4</f>
        <v>2166</v>
      </c>
      <c r="G5" s="109">
        <f>+G3+G4</f>
        <v>2282</v>
      </c>
      <c r="H5" s="110">
        <f>G5/F5-1</f>
        <v>5.3554939981532712E-2</v>
      </c>
      <c r="I5" s="77"/>
      <c r="J5" s="77"/>
    </row>
    <row r="6" spans="1:10" x14ac:dyDescent="0.2">
      <c r="A6" s="145"/>
      <c r="B6" s="42" t="s">
        <v>72</v>
      </c>
      <c r="C6" s="75">
        <v>4076</v>
      </c>
      <c r="D6" s="75">
        <v>4311</v>
      </c>
      <c r="E6" s="75">
        <f>+'Q5-'!D3</f>
        <v>4334</v>
      </c>
      <c r="F6" s="75">
        <f>+'Q5-'!E3</f>
        <v>4092</v>
      </c>
      <c r="G6" s="75">
        <f>+'Q5-'!F3</f>
        <v>4459</v>
      </c>
      <c r="H6" s="76">
        <f>G6/F6-1</f>
        <v>8.9687194525904124E-2</v>
      </c>
      <c r="I6" s="73"/>
      <c r="J6" s="78"/>
    </row>
    <row r="7" spans="1:10" x14ac:dyDescent="0.2">
      <c r="A7" s="145"/>
      <c r="B7" s="111" t="s">
        <v>73</v>
      </c>
      <c r="C7" s="112">
        <v>0.547595682041217</v>
      </c>
      <c r="D7" s="112">
        <v>0.51380190211087895</v>
      </c>
      <c r="E7" s="112">
        <f>+E5/E6</f>
        <v>0.53345639132441158</v>
      </c>
      <c r="F7" s="112">
        <f>+F5/F6</f>
        <v>0.52932551319648091</v>
      </c>
      <c r="G7" s="112">
        <f>+G5/G6</f>
        <v>0.51177394034536894</v>
      </c>
      <c r="H7" s="112">
        <f>G7/F7-1</f>
        <v>-3.3158373087142312E-2</v>
      </c>
      <c r="I7" s="74"/>
      <c r="J7" s="74"/>
    </row>
    <row r="8" spans="1:10" ht="14.25" customHeight="1" x14ac:dyDescent="0.2">
      <c r="A8" s="145" t="s">
        <v>14</v>
      </c>
      <c r="B8" s="42" t="s">
        <v>69</v>
      </c>
      <c r="C8" s="42">
        <v>353</v>
      </c>
      <c r="D8" s="75">
        <v>358</v>
      </c>
      <c r="E8" s="75">
        <f>36+31+26+23+38+35+41+16+26+44+22+39</f>
        <v>377</v>
      </c>
      <c r="F8" s="75">
        <f>35+38+26+26+29+22+38+20+27+33+37+36</f>
        <v>367</v>
      </c>
      <c r="G8" s="75">
        <v>407</v>
      </c>
      <c r="H8" s="76">
        <f t="shared" ref="H8:H9" si="0">G8/F8-1</f>
        <v>0.10899182561307907</v>
      </c>
      <c r="I8" s="73"/>
      <c r="J8" s="73"/>
    </row>
    <row r="9" spans="1:10" x14ac:dyDescent="0.2">
      <c r="A9" s="145"/>
      <c r="B9" s="42" t="s">
        <v>70</v>
      </c>
      <c r="C9" s="75">
        <v>75</v>
      </c>
      <c r="D9" s="75">
        <v>77</v>
      </c>
      <c r="E9" s="75">
        <f>8+5+5+6+6+4+12+7+5+4+2</f>
        <v>64</v>
      </c>
      <c r="F9" s="75">
        <f>4+6+6+3+4+3+7+1+2+8+8+6</f>
        <v>58</v>
      </c>
      <c r="G9" s="75">
        <f>1+5+4+2+7+6+6+2+5+6+3+8</f>
        <v>55</v>
      </c>
      <c r="H9" s="76">
        <f t="shared" si="0"/>
        <v>-5.1724137931034475E-2</v>
      </c>
      <c r="I9" s="77"/>
      <c r="J9" s="77"/>
    </row>
    <row r="10" spans="1:10" x14ac:dyDescent="0.2">
      <c r="A10" s="145"/>
      <c r="B10" s="108" t="s">
        <v>71</v>
      </c>
      <c r="C10" s="109">
        <v>428</v>
      </c>
      <c r="D10" s="109">
        <v>435</v>
      </c>
      <c r="E10" s="109">
        <f>+E8+E9</f>
        <v>441</v>
      </c>
      <c r="F10" s="109">
        <f>+F8+F9</f>
        <v>425</v>
      </c>
      <c r="G10" s="109">
        <f>+G8+G9</f>
        <v>462</v>
      </c>
      <c r="H10" s="110">
        <f t="shared" ref="H10:H22" si="1">G10/F10-1</f>
        <v>8.7058823529411855E-2</v>
      </c>
      <c r="I10" s="73"/>
      <c r="J10" s="78"/>
    </row>
    <row r="11" spans="1:10" x14ac:dyDescent="0.2">
      <c r="A11" s="145"/>
      <c r="B11" s="42" t="s">
        <v>72</v>
      </c>
      <c r="C11" s="75">
        <v>626</v>
      </c>
      <c r="D11" s="75">
        <v>645</v>
      </c>
      <c r="E11" s="75">
        <f>+'Q5-'!D4</f>
        <v>678</v>
      </c>
      <c r="F11" s="75">
        <f>+'Q5-'!E4</f>
        <v>595</v>
      </c>
      <c r="G11" s="75">
        <f>+'Q5-'!F4</f>
        <v>679</v>
      </c>
      <c r="H11" s="76">
        <f t="shared" si="1"/>
        <v>0.14117647058823524</v>
      </c>
      <c r="I11" s="74"/>
      <c r="J11" s="74"/>
    </row>
    <row r="12" spans="1:10" x14ac:dyDescent="0.2">
      <c r="A12" s="145"/>
      <c r="B12" s="111" t="s">
        <v>73</v>
      </c>
      <c r="C12" s="112">
        <v>0.68370607028754005</v>
      </c>
      <c r="D12" s="112">
        <v>0.67441860465116299</v>
      </c>
      <c r="E12" s="112">
        <f>+E10/E11</f>
        <v>0.65044247787610621</v>
      </c>
      <c r="F12" s="112">
        <f>+F10/F11</f>
        <v>0.7142857142857143</v>
      </c>
      <c r="G12" s="112">
        <f>+G10/G11</f>
        <v>0.68041237113402064</v>
      </c>
      <c r="H12" s="112">
        <f t="shared" si="1"/>
        <v>-4.7422680412371077E-2</v>
      </c>
      <c r="I12" s="73"/>
      <c r="J12" s="73"/>
    </row>
    <row r="13" spans="1:10" ht="13.5" customHeight="1" x14ac:dyDescent="0.2">
      <c r="A13" s="145" t="s">
        <v>15</v>
      </c>
      <c r="B13" s="42" t="s">
        <v>69</v>
      </c>
      <c r="C13" s="42">
        <v>235</v>
      </c>
      <c r="D13" s="75">
        <v>221</v>
      </c>
      <c r="E13" s="75">
        <f>14+27+24+19+20+13+21+8+17+15+17+13</f>
        <v>208</v>
      </c>
      <c r="F13" s="75">
        <f>20+12+17+18+11+17+15+10+17+20+21+23</f>
        <v>201</v>
      </c>
      <c r="G13" s="75">
        <f>16+17+14+15+18+18+16+14+23+15+14+20</f>
        <v>200</v>
      </c>
      <c r="H13" s="76">
        <f t="shared" si="1"/>
        <v>-4.9751243781094301E-3</v>
      </c>
      <c r="I13" s="77"/>
      <c r="J13" s="77"/>
    </row>
    <row r="14" spans="1:10" x14ac:dyDescent="0.2">
      <c r="A14" s="145"/>
      <c r="B14" s="42" t="s">
        <v>70</v>
      </c>
      <c r="C14" s="42">
        <v>68</v>
      </c>
      <c r="D14" s="75">
        <v>53</v>
      </c>
      <c r="E14" s="75">
        <f>5+3+10+1+5+6+3+3+4+2</f>
        <v>42</v>
      </c>
      <c r="F14" s="75">
        <f>3+5+3+3+0+3+3+5+2+9+3+8</f>
        <v>47</v>
      </c>
      <c r="G14" s="75">
        <f>3+4+3+5+4+2+9+5+3+2+2+8</f>
        <v>50</v>
      </c>
      <c r="H14" s="76">
        <f t="shared" si="1"/>
        <v>6.3829787234042534E-2</v>
      </c>
      <c r="I14" s="73"/>
      <c r="J14" s="78"/>
    </row>
    <row r="15" spans="1:10" x14ac:dyDescent="0.2">
      <c r="A15" s="145"/>
      <c r="B15" s="108" t="s">
        <v>71</v>
      </c>
      <c r="C15" s="108">
        <v>303</v>
      </c>
      <c r="D15" s="109">
        <v>274</v>
      </c>
      <c r="E15" s="109">
        <f>+E13+E14</f>
        <v>250</v>
      </c>
      <c r="F15" s="109">
        <f>+F13+F14</f>
        <v>248</v>
      </c>
      <c r="G15" s="109">
        <f>+G13+G14</f>
        <v>250</v>
      </c>
      <c r="H15" s="110">
        <f t="shared" si="1"/>
        <v>8.0645161290322509E-3</v>
      </c>
      <c r="I15" s="74"/>
      <c r="J15" s="74"/>
    </row>
    <row r="16" spans="1:10" x14ac:dyDescent="0.2">
      <c r="A16" s="145"/>
      <c r="B16" s="42" t="s">
        <v>72</v>
      </c>
      <c r="C16" s="42">
        <v>625</v>
      </c>
      <c r="D16" s="75">
        <v>569</v>
      </c>
      <c r="E16" s="75">
        <f>+'Q5-'!D5</f>
        <v>532</v>
      </c>
      <c r="F16" s="75">
        <f>+'Q5-'!E5</f>
        <v>536</v>
      </c>
      <c r="G16" s="75">
        <f>+'Q5-'!F5</f>
        <v>857</v>
      </c>
      <c r="H16" s="76">
        <f t="shared" si="1"/>
        <v>0.59888059701492535</v>
      </c>
      <c r="I16" s="73"/>
      <c r="J16" s="73"/>
    </row>
    <row r="17" spans="1:10" x14ac:dyDescent="0.2">
      <c r="A17" s="145"/>
      <c r="B17" s="111" t="s">
        <v>73</v>
      </c>
      <c r="C17" s="112">
        <v>0.48480000000000001</v>
      </c>
      <c r="D17" s="112">
        <v>0.48154657293497399</v>
      </c>
      <c r="E17" s="112">
        <f>+E15/E16</f>
        <v>0.46992481203007519</v>
      </c>
      <c r="F17" s="112">
        <f>+F15/F16</f>
        <v>0.46268656716417911</v>
      </c>
      <c r="G17" s="112">
        <f>+G15/G16</f>
        <v>0.29171528588098017</v>
      </c>
      <c r="H17" s="112">
        <f t="shared" si="1"/>
        <v>-0.3695185756765913</v>
      </c>
      <c r="I17" s="73"/>
      <c r="J17" s="73"/>
    </row>
    <row r="18" spans="1:10" ht="11.25" customHeight="1" x14ac:dyDescent="0.2">
      <c r="A18" s="145" t="s">
        <v>25</v>
      </c>
      <c r="B18" s="42" t="s">
        <v>69</v>
      </c>
      <c r="C18" s="75">
        <v>2411</v>
      </c>
      <c r="D18" s="75">
        <v>2436</v>
      </c>
      <c r="E18" s="75">
        <f t="shared" ref="E18:G20" si="2">+E3+E8+E13</f>
        <v>2550</v>
      </c>
      <c r="F18" s="75">
        <f t="shared" si="2"/>
        <v>2456</v>
      </c>
      <c r="G18" s="75">
        <f t="shared" ref="G18" si="3">+G3+G8+G13</f>
        <v>2602</v>
      </c>
      <c r="H18" s="76">
        <f t="shared" si="1"/>
        <v>5.9446254071661153E-2</v>
      </c>
      <c r="I18" s="24"/>
      <c r="J18" s="24"/>
    </row>
    <row r="19" spans="1:10" x14ac:dyDescent="0.2">
      <c r="A19" s="145"/>
      <c r="B19" s="42" t="s">
        <v>70</v>
      </c>
      <c r="C19" s="75">
        <v>552</v>
      </c>
      <c r="D19" s="75">
        <v>488</v>
      </c>
      <c r="E19" s="75">
        <f t="shared" si="2"/>
        <v>453</v>
      </c>
      <c r="F19" s="75">
        <f t="shared" si="2"/>
        <v>383</v>
      </c>
      <c r="G19" s="75">
        <f t="shared" ref="G19" si="4">+G4+G9+G14</f>
        <v>392</v>
      </c>
      <c r="H19" s="76">
        <f t="shared" si="1"/>
        <v>2.3498694516971286E-2</v>
      </c>
      <c r="I19" s="17"/>
      <c r="J19" s="17"/>
    </row>
    <row r="20" spans="1:10" x14ac:dyDescent="0.2">
      <c r="A20" s="145"/>
      <c r="B20" s="108" t="s">
        <v>71</v>
      </c>
      <c r="C20" s="109">
        <v>2963</v>
      </c>
      <c r="D20" s="109">
        <v>2924</v>
      </c>
      <c r="E20" s="109">
        <f t="shared" si="2"/>
        <v>3003</v>
      </c>
      <c r="F20" s="109">
        <f t="shared" si="2"/>
        <v>2839</v>
      </c>
      <c r="G20" s="109">
        <f t="shared" si="2"/>
        <v>2994</v>
      </c>
      <c r="H20" s="110">
        <f t="shared" si="1"/>
        <v>5.4596688974991148E-2</v>
      </c>
    </row>
    <row r="21" spans="1:10" x14ac:dyDescent="0.2">
      <c r="A21" s="145"/>
      <c r="B21" s="42" t="s">
        <v>72</v>
      </c>
      <c r="C21" s="75">
        <v>5327</v>
      </c>
      <c r="D21" s="75">
        <v>5525</v>
      </c>
      <c r="E21" s="75">
        <f>+E6+E11+E16</f>
        <v>5544</v>
      </c>
      <c r="F21" s="75">
        <f>+'Q5-'!E6</f>
        <v>5223</v>
      </c>
      <c r="G21" s="75">
        <f>+'Q5-'!F6</f>
        <v>5995</v>
      </c>
      <c r="H21" s="76">
        <f t="shared" si="1"/>
        <v>0.14780777331035799</v>
      </c>
    </row>
    <row r="22" spans="1:10" x14ac:dyDescent="0.2">
      <c r="A22" s="145"/>
      <c r="B22" s="111" t="s">
        <v>73</v>
      </c>
      <c r="C22" s="112">
        <v>0.55622301483011105</v>
      </c>
      <c r="D22" s="112">
        <v>0.52923076923076895</v>
      </c>
      <c r="E22" s="112">
        <f>+E20/E21</f>
        <v>0.54166666666666663</v>
      </c>
      <c r="F22" s="112">
        <f>+F20/F21</f>
        <v>0.543557342523454</v>
      </c>
      <c r="G22" s="112">
        <f>+G20/G21</f>
        <v>0.49941618015012512</v>
      </c>
      <c r="H22" s="112">
        <f t="shared" si="1"/>
        <v>-8.1207922182422232E-2</v>
      </c>
    </row>
    <row r="23" spans="1:10" x14ac:dyDescent="0.2">
      <c r="A23" s="141" t="s">
        <v>101</v>
      </c>
      <c r="B23" s="141"/>
      <c r="C23" s="141"/>
      <c r="D23" s="141"/>
      <c r="E23" s="141"/>
      <c r="F23" s="141"/>
      <c r="G23" s="141"/>
      <c r="H23" s="141"/>
    </row>
    <row r="24" spans="1:10" x14ac:dyDescent="0.2">
      <c r="B24" s="55"/>
      <c r="C24" s="79"/>
      <c r="D24" s="79"/>
      <c r="E24" s="79"/>
      <c r="F24" s="79"/>
      <c r="G24" s="79"/>
      <c r="H24" s="80"/>
    </row>
    <row r="25" spans="1:10" x14ac:dyDescent="0.2">
      <c r="B25" s="55"/>
      <c r="C25" s="79"/>
      <c r="D25" s="79"/>
      <c r="E25" s="79"/>
      <c r="F25" s="79"/>
      <c r="G25" s="79"/>
      <c r="H25" s="80"/>
    </row>
    <row r="26" spans="1:10" x14ac:dyDescent="0.2">
      <c r="B26" s="55"/>
      <c r="C26" s="79"/>
      <c r="D26" s="79"/>
      <c r="E26" s="79"/>
      <c r="F26" s="79"/>
      <c r="G26" s="79"/>
      <c r="H26" s="80"/>
    </row>
  </sheetData>
  <mergeCells count="7">
    <mergeCell ref="A18:A22"/>
    <mergeCell ref="A23:H23"/>
    <mergeCell ref="A1:H1"/>
    <mergeCell ref="A2:B2"/>
    <mergeCell ref="A3:A7"/>
    <mergeCell ref="A8:A12"/>
    <mergeCell ref="A13:A17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ML40"/>
  <sheetViews>
    <sheetView tabSelected="1" zoomScale="90" zoomScaleNormal="90" workbookViewId="0">
      <pane xSplit="1" topLeftCell="B1" activePane="topRight" state="frozen"/>
      <selection pane="topRight" activeCell="G28" sqref="G28"/>
    </sheetView>
  </sheetViews>
  <sheetFormatPr baseColWidth="10" defaultColWidth="9.109375" defaultRowHeight="15" x14ac:dyDescent="0.2"/>
  <cols>
    <col min="1" max="1" width="18" style="2" customWidth="1"/>
    <col min="2" max="5" width="7.44140625" style="2" customWidth="1"/>
    <col min="6" max="6" width="7.6640625" style="2" customWidth="1"/>
    <col min="7" max="7" width="11.6640625" style="2" customWidth="1"/>
    <col min="8" max="9" width="7.44140625" style="2" customWidth="1"/>
    <col min="10" max="11" width="7.44140625" style="21" customWidth="1"/>
    <col min="12" max="12" width="10.21875" style="2" customWidth="1"/>
    <col min="13" max="24" width="9.109375" style="27"/>
    <col min="25" max="1026" width="9.109375" style="2"/>
  </cols>
  <sheetData>
    <row r="1" spans="1:24" x14ac:dyDescent="0.2">
      <c r="A1" s="146" t="s">
        <v>118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24" ht="11.25" customHeight="1" x14ac:dyDescent="0.2">
      <c r="A2" s="149"/>
      <c r="B2" s="150">
        <v>2017</v>
      </c>
      <c r="C2" s="150"/>
      <c r="D2" s="150">
        <v>2018</v>
      </c>
      <c r="E2" s="150"/>
      <c r="F2" s="114">
        <v>2019</v>
      </c>
      <c r="G2" s="152" t="s">
        <v>75</v>
      </c>
      <c r="H2" s="114">
        <v>2020</v>
      </c>
      <c r="I2" s="152" t="s">
        <v>75</v>
      </c>
      <c r="J2" s="114">
        <v>2021</v>
      </c>
      <c r="K2" s="152" t="s">
        <v>75</v>
      </c>
      <c r="L2" s="151" t="s">
        <v>115</v>
      </c>
      <c r="M2" s="74"/>
      <c r="N2" s="74"/>
      <c r="O2" s="55"/>
      <c r="P2" s="74"/>
      <c r="Q2" s="74"/>
      <c r="R2" s="55"/>
    </row>
    <row r="3" spans="1:24" x14ac:dyDescent="0.2">
      <c r="A3" s="149"/>
      <c r="B3" s="113" t="s">
        <v>74</v>
      </c>
      <c r="C3" s="113" t="s">
        <v>75</v>
      </c>
      <c r="D3" s="113" t="s">
        <v>74</v>
      </c>
      <c r="E3" s="113" t="s">
        <v>75</v>
      </c>
      <c r="F3" s="113" t="s">
        <v>74</v>
      </c>
      <c r="G3" s="153"/>
      <c r="H3" s="113" t="s">
        <v>74</v>
      </c>
      <c r="I3" s="153"/>
      <c r="J3" s="113" t="s">
        <v>74</v>
      </c>
      <c r="K3" s="153"/>
      <c r="L3" s="151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">
      <c r="A4" s="38" t="s">
        <v>27</v>
      </c>
      <c r="B4" s="81">
        <v>1527892.45</v>
      </c>
      <c r="C4" s="82">
        <v>100</v>
      </c>
      <c r="D4" s="81">
        <v>1569890.45</v>
      </c>
      <c r="E4" s="82">
        <v>100</v>
      </c>
      <c r="F4" s="81">
        <v>1514835.2</v>
      </c>
      <c r="G4" s="82">
        <f t="shared" ref="G4:G12" si="0">(+F4/$F$4)*100</f>
        <v>100</v>
      </c>
      <c r="H4" s="81">
        <f>SUM(H5:H12)</f>
        <v>1255063.0500000003</v>
      </c>
      <c r="I4" s="82">
        <f t="shared" ref="I4:I12" si="1">(+H4/$H$4)*100</f>
        <v>100</v>
      </c>
      <c r="J4" s="81">
        <f>SUM(J5:J12)</f>
        <v>1521161.42</v>
      </c>
      <c r="K4" s="82">
        <f>(+J4/$J$4)*100</f>
        <v>100</v>
      </c>
      <c r="L4" s="83">
        <f>+J4/H4-1</f>
        <v>0.21201992202702447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x14ac:dyDescent="0.2">
      <c r="A5" s="42" t="s">
        <v>76</v>
      </c>
      <c r="B5" s="15">
        <v>808878.25</v>
      </c>
      <c r="C5" s="85">
        <v>52.940784542786403</v>
      </c>
      <c r="D5" s="15">
        <v>978448.06</v>
      </c>
      <c r="E5" s="85">
        <v>62.3258814014698</v>
      </c>
      <c r="F5" s="75">
        <v>1052715.3999999999</v>
      </c>
      <c r="G5" s="85">
        <f t="shared" si="0"/>
        <v>69.493724465869292</v>
      </c>
      <c r="H5" s="75">
        <f>83454.68+91785.27+90168.94+61934.98+56677.41+98431.77+111435.21+44879.03+59571.04+71072.92+69241.69+105523.12</f>
        <v>944176.06000000017</v>
      </c>
      <c r="I5" s="85">
        <f t="shared" si="1"/>
        <v>75.229372739481093</v>
      </c>
      <c r="J5" s="75">
        <f>108988.11+84549.43+108986.46+82679.75+93526.3+69344.02+80481.72+45922.75+75376.06+89545.75+110218.38+83216.14</f>
        <v>1032834.8699999999</v>
      </c>
      <c r="K5" s="85">
        <f>(+J5/$J$4)*100</f>
        <v>67.897782340548702</v>
      </c>
      <c r="L5" s="35">
        <f>+J5/H5-1</f>
        <v>9.3900718050402343E-2</v>
      </c>
      <c r="M5" s="86"/>
      <c r="N5" s="86"/>
      <c r="O5" s="87"/>
      <c r="P5" s="88"/>
      <c r="Q5" s="86"/>
      <c r="R5" s="87"/>
    </row>
    <row r="6" spans="1:24" x14ac:dyDescent="0.2">
      <c r="A6" s="42" t="s">
        <v>77</v>
      </c>
      <c r="B6" s="15">
        <v>45953.77</v>
      </c>
      <c r="C6" s="85">
        <v>3.0076573779784002</v>
      </c>
      <c r="D6" s="15">
        <v>27762.67</v>
      </c>
      <c r="E6" s="85">
        <v>1.7684463269395601</v>
      </c>
      <c r="F6" s="75">
        <v>29391.05</v>
      </c>
      <c r="G6" s="85">
        <f t="shared" si="0"/>
        <v>1.940214354670396</v>
      </c>
      <c r="H6" s="75">
        <f>924.66+886.2+8012.39+1648.35+5114.68+4018.76+782.24+435.96+9951.65+1075.89+2904.89+6412.96</f>
        <v>42168.63</v>
      </c>
      <c r="I6" s="85">
        <f t="shared" si="1"/>
        <v>3.3598814019741865</v>
      </c>
      <c r="J6" s="75">
        <f>4735.65+1833.84+3647.57+1803.84+1533.65+2594.09+10142.61+1505.13+88.44+1151.93+1079.09+5511.4</f>
        <v>35627.24</v>
      </c>
      <c r="K6" s="85">
        <f t="shared" ref="K6:K12" si="2">(+J6/$J$4)*100</f>
        <v>2.3421077823548799</v>
      </c>
      <c r="L6" s="35">
        <f t="shared" ref="L6:L12" si="3">+J6/H6-1</f>
        <v>-0.15512455586060059</v>
      </c>
      <c r="M6" s="86"/>
      <c r="N6" s="86"/>
      <c r="O6" s="87"/>
      <c r="P6" s="88"/>
      <c r="Q6" s="86"/>
      <c r="R6" s="87"/>
    </row>
    <row r="7" spans="1:24" x14ac:dyDescent="0.2">
      <c r="A7" s="42" t="s">
        <v>78</v>
      </c>
      <c r="B7" s="15">
        <v>250596.45</v>
      </c>
      <c r="C7" s="85">
        <v>16.401445664581999</v>
      </c>
      <c r="D7" s="15">
        <v>66360.14</v>
      </c>
      <c r="E7" s="85">
        <v>4.2270554610992104</v>
      </c>
      <c r="F7" s="75">
        <v>142832.75</v>
      </c>
      <c r="G7" s="85">
        <f t="shared" si="0"/>
        <v>9.4289299588496487</v>
      </c>
      <c r="H7" s="75">
        <f>3458.77+1521.44+9393.63+24406.43+4760.27+1214.39+746.21+496.24+676.31+843.1+2627.57+1775.8</f>
        <v>51920.160000000003</v>
      </c>
      <c r="I7" s="85">
        <f t="shared" si="1"/>
        <v>4.1368567101071134</v>
      </c>
      <c r="J7" s="75">
        <f>6194.68+4841.44+5578.59+1578+991.39+5336.16+4339.66+2778.39+1030.55+10537.24+17705+11588.65</f>
        <v>72499.75</v>
      </c>
      <c r="K7" s="85">
        <f t="shared" si="2"/>
        <v>4.7660786716507708</v>
      </c>
      <c r="L7" s="35">
        <f t="shared" si="3"/>
        <v>0.39636992644090463</v>
      </c>
      <c r="M7" s="86"/>
      <c r="N7" s="86"/>
      <c r="O7" s="87"/>
      <c r="P7" s="88"/>
      <c r="Q7" s="86"/>
      <c r="R7" s="87"/>
    </row>
    <row r="8" spans="1:24" x14ac:dyDescent="0.2">
      <c r="A8" s="42" t="s">
        <v>79</v>
      </c>
      <c r="B8" s="22">
        <v>5167.92</v>
      </c>
      <c r="C8" s="85">
        <v>0.33823846698110199</v>
      </c>
      <c r="D8" s="22">
        <v>49086.38</v>
      </c>
      <c r="E8" s="85">
        <v>3.12673919380808</v>
      </c>
      <c r="F8" s="75">
        <v>51737.75</v>
      </c>
      <c r="G8" s="85">
        <f t="shared" si="0"/>
        <v>3.415404527172329</v>
      </c>
      <c r="H8" s="75">
        <f>26178.72+3349.89+764.19+438.44</f>
        <v>30731.239999999998</v>
      </c>
      <c r="I8" s="85">
        <f t="shared" si="1"/>
        <v>2.4485813680834592</v>
      </c>
      <c r="J8" s="75">
        <f>159.37+606.67+470.3+1719.08+1041.6+524.5+279.24+63+7678.71</f>
        <v>12542.470000000001</v>
      </c>
      <c r="K8" s="85">
        <f t="shared" si="2"/>
        <v>0.82453248124055112</v>
      </c>
      <c r="L8" s="35">
        <f t="shared" si="3"/>
        <v>-0.59186580170536551</v>
      </c>
      <c r="M8" s="86"/>
      <c r="N8" s="86"/>
      <c r="O8" s="87"/>
      <c r="P8" s="89"/>
      <c r="Q8" s="86"/>
      <c r="R8" s="87"/>
    </row>
    <row r="9" spans="1:24" x14ac:dyDescent="0.2">
      <c r="A9" s="42" t="s">
        <v>80</v>
      </c>
      <c r="B9" s="15">
        <v>381409.16</v>
      </c>
      <c r="C9" s="85">
        <v>24.963089515888399</v>
      </c>
      <c r="D9" s="15">
        <v>397727.97</v>
      </c>
      <c r="E9" s="85">
        <v>25.334759505034199</v>
      </c>
      <c r="F9" s="75">
        <v>204469.78</v>
      </c>
      <c r="G9" s="85">
        <f t="shared" si="0"/>
        <v>13.497823393594235</v>
      </c>
      <c r="H9" s="75">
        <f>6667.04+10135.41+51.14+4743.35+1262.12+38413.6+85.74+2660.97+6204.9+3024.05+1182.63+30213.4+309.25+8228.58+386+1361.51+8580.47+9714.61+29353.22</f>
        <v>162577.99000000002</v>
      </c>
      <c r="I9" s="85">
        <f t="shared" si="1"/>
        <v>12.953770728888877</v>
      </c>
      <c r="J9" s="75">
        <f>277.19+3021.11+1109+73633.22+13305.53+88+5437.01+1093.2+1966.58+311.45+842.77+215.05+8519.9+14004.41+16896.84+4283.01+123.94+11184.07+1089.5+72763.87</f>
        <v>230165.65000000002</v>
      </c>
      <c r="K9" s="85">
        <f t="shared" si="2"/>
        <v>15.130915560558986</v>
      </c>
      <c r="L9" s="35">
        <f t="shared" si="3"/>
        <v>0.41572453934262565</v>
      </c>
      <c r="M9" s="86"/>
      <c r="N9" s="86"/>
      <c r="O9" s="87"/>
      <c r="P9" s="88"/>
      <c r="Q9" s="86"/>
      <c r="R9" s="87"/>
    </row>
    <row r="10" spans="1:24" x14ac:dyDescent="0.2">
      <c r="A10" s="42" t="s">
        <v>81</v>
      </c>
      <c r="B10" s="15">
        <v>12948.78</v>
      </c>
      <c r="C10" s="85">
        <v>0.84749289781489501</v>
      </c>
      <c r="D10" s="15">
        <v>27488.080000000002</v>
      </c>
      <c r="E10" s="85">
        <v>1.7509552975495799</v>
      </c>
      <c r="F10" s="75">
        <v>8464.83</v>
      </c>
      <c r="G10" s="85">
        <f t="shared" si="0"/>
        <v>0.55879543860612702</v>
      </c>
      <c r="H10" s="75">
        <f>543.55+960.8+1343.94</f>
        <v>2848.29</v>
      </c>
      <c r="I10" s="85">
        <f t="shared" si="1"/>
        <v>0.2269439770376476</v>
      </c>
      <c r="J10" s="75">
        <f>85598.64+397.25+7542.47+5823.98+10570.77+353.62+12.15</f>
        <v>110298.87999999999</v>
      </c>
      <c r="K10" s="85">
        <f t="shared" si="2"/>
        <v>7.2509648581542381</v>
      </c>
      <c r="L10" s="35">
        <f t="shared" si="3"/>
        <v>37.72459616120549</v>
      </c>
      <c r="M10" s="86"/>
      <c r="N10" s="86"/>
      <c r="O10" s="87"/>
      <c r="P10" s="88"/>
      <c r="Q10" s="86"/>
      <c r="R10" s="87"/>
    </row>
    <row r="11" spans="1:24" x14ac:dyDescent="0.2">
      <c r="A11" s="42" t="s">
        <v>82</v>
      </c>
      <c r="B11" s="15">
        <v>17929.63</v>
      </c>
      <c r="C11" s="85">
        <v>1.1734877019648899</v>
      </c>
      <c r="D11" s="15">
        <v>12901.98</v>
      </c>
      <c r="E11" s="85">
        <v>0.82183951115824705</v>
      </c>
      <c r="F11" s="75">
        <v>22045.99</v>
      </c>
      <c r="G11" s="85">
        <f t="shared" si="0"/>
        <v>1.4553391682474768</v>
      </c>
      <c r="H11" s="75">
        <f>727.78+425.15+48.87+22.02+265.15+1035.18+70.25+75.85+1329.53+437.09+908.85+11562.44</f>
        <v>16908.16</v>
      </c>
      <c r="I11" s="85">
        <f t="shared" si="1"/>
        <v>1.3471960631778614</v>
      </c>
      <c r="J11" s="75">
        <f>130+914.49+371.68+11278.07+4450.82+1450.11+429.45</f>
        <v>19024.62</v>
      </c>
      <c r="K11" s="85">
        <f t="shared" si="2"/>
        <v>1.2506641142660586</v>
      </c>
      <c r="L11" s="35">
        <f t="shared" si="3"/>
        <v>0.12517388054052003</v>
      </c>
      <c r="M11" s="86"/>
      <c r="N11" s="86"/>
      <c r="O11" s="87"/>
      <c r="P11" s="88"/>
      <c r="Q11" s="86"/>
      <c r="R11" s="87"/>
    </row>
    <row r="12" spans="1:24" x14ac:dyDescent="0.2">
      <c r="A12" s="42" t="s">
        <v>83</v>
      </c>
      <c r="B12" s="15">
        <v>5008.49</v>
      </c>
      <c r="C12" s="85">
        <v>0.32780383200401297</v>
      </c>
      <c r="D12" s="15">
        <v>10115.17</v>
      </c>
      <c r="E12" s="85">
        <v>0.64432330294129703</v>
      </c>
      <c r="F12" s="75">
        <v>3177.65</v>
      </c>
      <c r="G12" s="85">
        <f t="shared" si="0"/>
        <v>0.20976869299049825</v>
      </c>
      <c r="H12" s="75">
        <f>793.52+487.77+8.72+986+44.77+51.95+68.3+48+867.97+114.15+261.37</f>
        <v>3732.52</v>
      </c>
      <c r="I12" s="85">
        <f t="shared" si="1"/>
        <v>0.29739701124975348</v>
      </c>
      <c r="J12" s="75">
        <f>75+170.9+2651.8+752.69+46.1+95.37+10+1610+241.81+200.65+935+670.32+616.3+92</f>
        <v>8167.9400000000005</v>
      </c>
      <c r="K12" s="85">
        <f t="shared" si="2"/>
        <v>0.53695419122580701</v>
      </c>
      <c r="L12" s="35">
        <f t="shared" si="3"/>
        <v>1.1883178120947782</v>
      </c>
      <c r="M12" s="86"/>
      <c r="N12" s="86"/>
      <c r="O12" s="87"/>
      <c r="P12" s="88"/>
      <c r="Q12" s="86"/>
      <c r="R12" s="87"/>
    </row>
    <row r="13" spans="1:24" x14ac:dyDescent="0.2">
      <c r="A13" s="38" t="s">
        <v>14</v>
      </c>
      <c r="B13" s="81">
        <v>139552.34</v>
      </c>
      <c r="C13" s="82">
        <v>100</v>
      </c>
      <c r="D13" s="81">
        <v>121854.77</v>
      </c>
      <c r="E13" s="82">
        <v>100</v>
      </c>
      <c r="F13" s="81">
        <v>172064</v>
      </c>
      <c r="G13" s="82">
        <f t="shared" ref="G13:G21" si="4">(+F13/$F$13)*100</f>
        <v>100</v>
      </c>
      <c r="H13" s="81">
        <f>SUM(H14:H21)</f>
        <v>115833.73000000001</v>
      </c>
      <c r="I13" s="82">
        <f t="shared" ref="I13:I21" si="5">(+H13/$H$13)*100</f>
        <v>100</v>
      </c>
      <c r="J13" s="81">
        <f>SUM(J14:J21)</f>
        <v>114062.33999999998</v>
      </c>
      <c r="K13" s="82">
        <f>(+J13/$J$13)*100</f>
        <v>100</v>
      </c>
      <c r="L13" s="83">
        <f>+J13/H13-1</f>
        <v>-1.5292523170928107E-2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x14ac:dyDescent="0.2">
      <c r="A14" s="42" t="s">
        <v>76</v>
      </c>
      <c r="B14" s="15">
        <v>84572.14</v>
      </c>
      <c r="C14" s="85">
        <v>60.6024520979011</v>
      </c>
      <c r="D14" s="15">
        <v>78922.53</v>
      </c>
      <c r="E14" s="85">
        <v>64.767698465969005</v>
      </c>
      <c r="F14" s="75">
        <v>96982.04</v>
      </c>
      <c r="G14" s="85">
        <f t="shared" si="4"/>
        <v>56.363934350009295</v>
      </c>
      <c r="H14" s="75">
        <f>8649.18+5754.87+4960.92+4400.86+4084.87+7147.88+6709.96+3512.66+3537.72+5145.6+5287.11+6296.95</f>
        <v>65488.579999999994</v>
      </c>
      <c r="I14" s="85">
        <f t="shared" si="5"/>
        <v>56.536709989395995</v>
      </c>
      <c r="J14" s="75">
        <f>4607.4+8778.82+6581.86+7695.51+8054.32+5127.34+6387.9+3916.86+12181.02+4644.89+7880.58+10501.06</f>
        <v>86357.56</v>
      </c>
      <c r="K14" s="85">
        <f>(+J14/$J$13)*100</f>
        <v>75.710843736854784</v>
      </c>
      <c r="L14" s="35">
        <f>+J14/H14-1</f>
        <v>0.31866594145116611</v>
      </c>
      <c r="M14" s="31"/>
      <c r="O14" s="87"/>
      <c r="P14" s="88"/>
      <c r="Q14" s="86"/>
      <c r="R14" s="87"/>
    </row>
    <row r="15" spans="1:24" x14ac:dyDescent="0.2">
      <c r="A15" s="42" t="s">
        <v>77</v>
      </c>
      <c r="B15" s="15">
        <v>1354.46</v>
      </c>
      <c r="C15" s="85">
        <v>0.97057491117669603</v>
      </c>
      <c r="D15" s="15">
        <v>3812.69</v>
      </c>
      <c r="E15" s="85">
        <v>3.1288803876942999</v>
      </c>
      <c r="F15" s="75">
        <v>3195.05</v>
      </c>
      <c r="G15" s="85">
        <f t="shared" si="4"/>
        <v>1.8568962711549193</v>
      </c>
      <c r="H15" s="75">
        <f>596.62+1113.19+909.81+553.25+159.23+47.96+80.81+242+85.82+168.85+1160.88</f>
        <v>5118.42</v>
      </c>
      <c r="I15" s="85">
        <f t="shared" si="5"/>
        <v>4.4187647242301527</v>
      </c>
      <c r="J15" s="75">
        <f>149.15+136.73+340.71+952.4+62.39+175.22+88.97+17.46+291.7</f>
        <v>2214.73</v>
      </c>
      <c r="K15" s="85">
        <f t="shared" ref="K15:K21" si="6">(+J15/$J$13)*100</f>
        <v>1.9416838195674402</v>
      </c>
      <c r="L15" s="35">
        <f t="shared" ref="L15:L21" si="7">+J15/H15-1</f>
        <v>-0.56730201898242039</v>
      </c>
      <c r="M15" s="31"/>
      <c r="O15" s="87"/>
      <c r="P15" s="88"/>
      <c r="Q15" s="86"/>
      <c r="R15" s="87"/>
    </row>
    <row r="16" spans="1:24" x14ac:dyDescent="0.2">
      <c r="A16" s="42" t="s">
        <v>78</v>
      </c>
      <c r="B16" s="15">
        <v>5554.95</v>
      </c>
      <c r="C16" s="85">
        <v>3.9805495199865502</v>
      </c>
      <c r="D16" s="15">
        <v>3285.9</v>
      </c>
      <c r="E16" s="85">
        <v>2.6965706799988198</v>
      </c>
      <c r="F16" s="75">
        <v>544.94000000000005</v>
      </c>
      <c r="G16" s="85">
        <f t="shared" si="4"/>
        <v>0.316707736656128</v>
      </c>
      <c r="H16" s="75">
        <f>106.65+248.22+136.62+116.39+66.98+101.57+275.01+188.42+3</f>
        <v>1242.8600000000001</v>
      </c>
      <c r="I16" s="85">
        <f t="shared" si="5"/>
        <v>1.0729689875306614</v>
      </c>
      <c r="J16" s="75">
        <f>599+778.55+9.92+119.24+29.02+592.86+227.2+132.81+346.55</f>
        <v>2835.15</v>
      </c>
      <c r="K16" s="85">
        <f t="shared" si="6"/>
        <v>2.4856144455742366</v>
      </c>
      <c r="L16" s="35">
        <f t="shared" si="7"/>
        <v>1.2811499283909691</v>
      </c>
      <c r="M16" s="31"/>
      <c r="O16" s="87"/>
      <c r="P16" s="88"/>
      <c r="Q16" s="86"/>
      <c r="R16" s="87"/>
    </row>
    <row r="17" spans="1:24" x14ac:dyDescent="0.2">
      <c r="A17" s="42" t="s">
        <v>79</v>
      </c>
      <c r="B17" s="15">
        <v>1809.93</v>
      </c>
      <c r="C17" s="85">
        <v>1.2969542467005599</v>
      </c>
      <c r="D17" s="15">
        <v>264.79000000000002</v>
      </c>
      <c r="E17" s="85">
        <v>0.21729965925831199</v>
      </c>
      <c r="F17" s="75">
        <v>5116.53</v>
      </c>
      <c r="G17" s="85">
        <f t="shared" si="4"/>
        <v>2.973620280825739</v>
      </c>
      <c r="H17" s="75">
        <v>166</v>
      </c>
      <c r="I17" s="85">
        <f t="shared" si="5"/>
        <v>0.14330886176245899</v>
      </c>
      <c r="J17" s="75">
        <f>2808.25+307.86+222</f>
        <v>3338.11</v>
      </c>
      <c r="K17" s="85">
        <f t="shared" si="6"/>
        <v>2.926566296991628</v>
      </c>
      <c r="L17" s="35">
        <f t="shared" si="7"/>
        <v>19.10909638554217</v>
      </c>
      <c r="M17" s="31"/>
      <c r="O17" s="87"/>
      <c r="P17" s="88"/>
      <c r="Q17" s="86"/>
      <c r="R17" s="87"/>
    </row>
    <row r="18" spans="1:24" x14ac:dyDescent="0.2">
      <c r="A18" s="42" t="s">
        <v>80</v>
      </c>
      <c r="B18" s="15">
        <v>43155.92</v>
      </c>
      <c r="C18" s="85">
        <v>30.924540570226199</v>
      </c>
      <c r="D18" s="15">
        <v>30568.05</v>
      </c>
      <c r="E18" s="85">
        <v>25.085640882174701</v>
      </c>
      <c r="F18" s="75">
        <v>55967.82</v>
      </c>
      <c r="G18" s="85">
        <f t="shared" si="4"/>
        <v>32.527327041100982</v>
      </c>
      <c r="H18" s="75">
        <f>284.29+589.33+1018.39+298.29+13505.37+850+608.99+669.57+334.62+513.14+1188.82+1904.69+2607.1+6451.84</f>
        <v>30824.44</v>
      </c>
      <c r="I18" s="85">
        <f t="shared" si="5"/>
        <v>26.610936210031394</v>
      </c>
      <c r="J18" s="75">
        <f>306.87+244.58+1152.49+201.14+516.81+282.58+477.62+1269+283.86+2211.48+253.29+2565.09</f>
        <v>9764.8100000000013</v>
      </c>
      <c r="K18" s="85">
        <f t="shared" si="6"/>
        <v>8.5609413238409822</v>
      </c>
      <c r="L18" s="35">
        <f t="shared" si="7"/>
        <v>-0.68321208755130658</v>
      </c>
      <c r="M18" s="31"/>
      <c r="O18" s="87"/>
      <c r="P18" s="88"/>
      <c r="Q18" s="86"/>
      <c r="R18" s="87"/>
    </row>
    <row r="19" spans="1:24" x14ac:dyDescent="0.2">
      <c r="A19" s="42" t="s">
        <v>81</v>
      </c>
      <c r="B19" s="15">
        <v>671.31</v>
      </c>
      <c r="C19" s="85">
        <v>0.48104531962703001</v>
      </c>
      <c r="D19" s="15">
        <v>477.02</v>
      </c>
      <c r="E19" s="85">
        <v>0.39146600498281697</v>
      </c>
      <c r="F19" s="75">
        <v>7392.22</v>
      </c>
      <c r="G19" s="85">
        <f t="shared" si="4"/>
        <v>4.2962037381439462</v>
      </c>
      <c r="H19" s="75">
        <f>11.55+10491.29+977.59</f>
        <v>11480.43</v>
      </c>
      <c r="I19" s="85">
        <f t="shared" si="5"/>
        <v>9.9111286496601636</v>
      </c>
      <c r="J19" s="75">
        <f>9207.3</f>
        <v>9207.2999999999993</v>
      </c>
      <c r="K19" s="85">
        <f t="shared" si="6"/>
        <v>8.0721647478037024</v>
      </c>
      <c r="L19" s="35">
        <f t="shared" si="7"/>
        <v>-0.1980004233290914</v>
      </c>
      <c r="M19" s="31"/>
      <c r="N19" s="86"/>
      <c r="O19" s="87"/>
      <c r="P19" s="88"/>
      <c r="Q19" s="86"/>
      <c r="R19" s="87"/>
    </row>
    <row r="20" spans="1:24" x14ac:dyDescent="0.2">
      <c r="A20" s="42" t="s">
        <v>82</v>
      </c>
      <c r="B20" s="15">
        <v>738.31</v>
      </c>
      <c r="C20" s="85">
        <v>0.52905598000004905</v>
      </c>
      <c r="D20" s="15">
        <v>3477.03</v>
      </c>
      <c r="E20" s="85">
        <v>2.8534213309827798</v>
      </c>
      <c r="F20" s="75">
        <v>1783.62</v>
      </c>
      <c r="G20" s="85">
        <f t="shared" si="4"/>
        <v>1.036602659475544</v>
      </c>
      <c r="H20" s="75">
        <f>5+36.32+200+98.31+300</f>
        <v>639.63</v>
      </c>
      <c r="I20" s="85">
        <f t="shared" si="5"/>
        <v>0.55219667017543161</v>
      </c>
      <c r="J20" s="75">
        <f>17+13</f>
        <v>30</v>
      </c>
      <c r="K20" s="85">
        <f t="shared" si="6"/>
        <v>2.6301406757041811E-2</v>
      </c>
      <c r="L20" s="35">
        <f t="shared" si="7"/>
        <v>-0.95309788471460066</v>
      </c>
      <c r="M20" s="31"/>
      <c r="N20" s="86"/>
      <c r="O20" s="87"/>
      <c r="P20" s="88"/>
      <c r="Q20" s="86"/>
      <c r="R20" s="87"/>
    </row>
    <row r="21" spans="1:24" x14ac:dyDescent="0.2">
      <c r="A21" s="42" t="s">
        <v>83</v>
      </c>
      <c r="B21" s="15">
        <v>1695.32</v>
      </c>
      <c r="C21" s="85">
        <v>1.2148273543818799</v>
      </c>
      <c r="D21" s="15">
        <v>1046.76</v>
      </c>
      <c r="E21" s="85">
        <v>0.85902258893927597</v>
      </c>
      <c r="F21" s="75">
        <v>1081.78</v>
      </c>
      <c r="G21" s="85">
        <f t="shared" si="4"/>
        <v>0.62870792263343867</v>
      </c>
      <c r="H21" s="75">
        <f>50+147+396.15+21.47+96.6+29.12+8.53+65.14+59.36</f>
        <v>873.37</v>
      </c>
      <c r="I21" s="85">
        <f t="shared" si="5"/>
        <v>0.75398590721372771</v>
      </c>
      <c r="J21" s="75">
        <f>138.35+20.25+32.4+86.6+37.08</f>
        <v>314.68</v>
      </c>
      <c r="K21" s="85">
        <f t="shared" si="6"/>
        <v>0.27588422261019724</v>
      </c>
      <c r="L21" s="35">
        <f t="shared" si="7"/>
        <v>-0.63969451664243104</v>
      </c>
      <c r="M21" s="31"/>
      <c r="N21" s="86"/>
      <c r="O21" s="87"/>
      <c r="P21" s="88"/>
      <c r="Q21" s="86"/>
      <c r="R21" s="87"/>
    </row>
    <row r="22" spans="1:24" x14ac:dyDescent="0.2">
      <c r="A22" s="38" t="s">
        <v>15</v>
      </c>
      <c r="B22" s="81">
        <v>320132.24</v>
      </c>
      <c r="C22" s="82">
        <v>100</v>
      </c>
      <c r="D22" s="81">
        <v>298660.59000000003</v>
      </c>
      <c r="E22" s="82">
        <v>100</v>
      </c>
      <c r="F22" s="81">
        <v>327536.27</v>
      </c>
      <c r="G22" s="82">
        <f t="shared" ref="G22:G30" si="8">(+F22/$F$22)*100</f>
        <v>100</v>
      </c>
      <c r="H22" s="81">
        <f>SUM(H23:H30)</f>
        <v>289928.4599999999</v>
      </c>
      <c r="I22" s="82">
        <f t="shared" ref="I22:I30" si="9">(+H22/$H$22)*100</f>
        <v>100</v>
      </c>
      <c r="J22" s="81">
        <f>SUM(J23:J30)</f>
        <v>430845.58999999997</v>
      </c>
      <c r="K22" s="82">
        <f>(+J22/$J$22)*100</f>
        <v>100</v>
      </c>
      <c r="L22" s="83">
        <f>+J22/H22-1</f>
        <v>0.48604103922740149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1:24" x14ac:dyDescent="0.2">
      <c r="A23" s="42" t="s">
        <v>76</v>
      </c>
      <c r="B23" s="15">
        <v>198261.54</v>
      </c>
      <c r="C23" s="85">
        <v>61.931138207135902</v>
      </c>
      <c r="D23" s="15">
        <v>187565.75</v>
      </c>
      <c r="E23" s="85">
        <v>62.802310140752098</v>
      </c>
      <c r="F23" s="75">
        <v>215511.92</v>
      </c>
      <c r="G23" s="85">
        <f t="shared" si="8"/>
        <v>65.797879422636157</v>
      </c>
      <c r="H23" s="75">
        <f>10453.55+21428.25+13828.48+7716.81+6682.57+17077.27+41810.64+7480.37+28140.4+14879.34+14130.12+24355.85</f>
        <v>207983.65</v>
      </c>
      <c r="I23" s="85">
        <f t="shared" si="9"/>
        <v>71.736196577597127</v>
      </c>
      <c r="J23" s="75">
        <f>12150.79+14126.77+47774.68+38083.19+13044.61+15828.52+9407.94+13050.07+11729.77+89545.75+11244.58+10798.54</f>
        <v>286785.20999999996</v>
      </c>
      <c r="K23" s="85">
        <f>(+J23/$J$22)*100</f>
        <v>66.563338851861047</v>
      </c>
      <c r="L23" s="35">
        <f>+J23/H23-1</f>
        <v>0.37888343627011056</v>
      </c>
      <c r="M23" s="31"/>
      <c r="N23" s="86"/>
      <c r="O23" s="87"/>
      <c r="P23" s="88"/>
      <c r="Q23" s="86"/>
      <c r="R23" s="87"/>
    </row>
    <row r="24" spans="1:24" x14ac:dyDescent="0.2">
      <c r="A24" s="42" t="s">
        <v>77</v>
      </c>
      <c r="B24" s="15">
        <v>7115.87</v>
      </c>
      <c r="C24" s="85">
        <v>2.22279080669913</v>
      </c>
      <c r="D24" s="15">
        <v>4130.24</v>
      </c>
      <c r="E24" s="85">
        <v>1.3829209940287099</v>
      </c>
      <c r="F24" s="75">
        <v>895.12</v>
      </c>
      <c r="G24" s="85">
        <f t="shared" si="8"/>
        <v>0.27328881775444291</v>
      </c>
      <c r="H24" s="75">
        <f>289.41+79.2+98.7+426.92+66.8+5.99+80.78</f>
        <v>1047.8</v>
      </c>
      <c r="I24" s="85">
        <f t="shared" si="9"/>
        <v>0.36139949834521257</v>
      </c>
      <c r="J24" s="75">
        <f>71.2+80.94+1151.93+11715.27</f>
        <v>13019.34</v>
      </c>
      <c r="K24" s="85">
        <f t="shared" ref="K24:K30" si="10">(+J24/$J$22)*100</f>
        <v>3.0218111319185144</v>
      </c>
      <c r="L24" s="35">
        <f t="shared" ref="L24:L30" si="11">+J24/H24-1</f>
        <v>11.42540561175797</v>
      </c>
      <c r="M24" s="31"/>
      <c r="N24" s="86"/>
      <c r="O24" s="87"/>
      <c r="P24" s="88"/>
      <c r="Q24" s="86"/>
      <c r="R24" s="87"/>
    </row>
    <row r="25" spans="1:24" x14ac:dyDescent="0.2">
      <c r="A25" s="42" t="s">
        <v>78</v>
      </c>
      <c r="B25" s="15">
        <v>9197.6200000000008</v>
      </c>
      <c r="C25" s="85">
        <v>2.8730689542546499</v>
      </c>
      <c r="D25" s="15">
        <v>3317.11</v>
      </c>
      <c r="E25" s="85">
        <v>1.11066210643996</v>
      </c>
      <c r="F25" s="75">
        <v>3864.05</v>
      </c>
      <c r="G25" s="85">
        <f t="shared" si="8"/>
        <v>1.1797319423586279</v>
      </c>
      <c r="H25" s="75">
        <f>27+2323.71+271.5+217.69+540.11+281.11+86.44+3536.74+12</f>
        <v>7296.3</v>
      </c>
      <c r="I25" s="85">
        <f t="shared" si="9"/>
        <v>2.5165863330560931</v>
      </c>
      <c r="J25" s="75">
        <f>339.22+139.74+74.28+405.25+56+1154.45+13.46+10537.24+43.87+231.4</f>
        <v>12994.91</v>
      </c>
      <c r="K25" s="85">
        <f t="shared" si="10"/>
        <v>3.0161408870402968</v>
      </c>
      <c r="L25" s="35">
        <f t="shared" si="11"/>
        <v>0.78102737003686795</v>
      </c>
      <c r="M25" s="31"/>
      <c r="N25" s="86"/>
      <c r="O25" s="87"/>
      <c r="P25" s="88"/>
      <c r="Q25" s="86"/>
      <c r="R25" s="87"/>
    </row>
    <row r="26" spans="1:24" x14ac:dyDescent="0.2">
      <c r="A26" s="42" t="s">
        <v>79</v>
      </c>
      <c r="B26" s="15">
        <v>5608.26</v>
      </c>
      <c r="C26" s="85">
        <v>1.7518572949728499</v>
      </c>
      <c r="D26" s="15">
        <v>4664.1000000000004</v>
      </c>
      <c r="E26" s="85">
        <v>1.56167239875874</v>
      </c>
      <c r="F26" s="75">
        <v>0</v>
      </c>
      <c r="G26" s="85">
        <f t="shared" si="8"/>
        <v>0</v>
      </c>
      <c r="H26" s="75">
        <v>139.51</v>
      </c>
      <c r="I26" s="85">
        <f t="shared" si="9"/>
        <v>4.8118766953751294E-2</v>
      </c>
      <c r="J26" s="75">
        <f>63</f>
        <v>63</v>
      </c>
      <c r="K26" s="85">
        <f t="shared" si="10"/>
        <v>1.4622407995402716E-2</v>
      </c>
      <c r="L26" s="35">
        <f t="shared" si="11"/>
        <v>-0.54841946813848463</v>
      </c>
      <c r="M26" s="31"/>
      <c r="N26" s="86"/>
      <c r="O26" s="87"/>
      <c r="P26" s="88"/>
      <c r="Q26" s="86"/>
      <c r="R26" s="87"/>
    </row>
    <row r="27" spans="1:24" x14ac:dyDescent="0.2">
      <c r="A27" s="42" t="s">
        <v>80</v>
      </c>
      <c r="B27" s="15">
        <v>98535.21</v>
      </c>
      <c r="C27" s="85">
        <v>30.779533482788199</v>
      </c>
      <c r="D27" s="15">
        <v>92694.17</v>
      </c>
      <c r="E27" s="85">
        <v>31.036625890279002</v>
      </c>
      <c r="F27" s="75">
        <v>105648.03</v>
      </c>
      <c r="G27" s="85">
        <f t="shared" si="8"/>
        <v>32.255368237539003</v>
      </c>
      <c r="H27" s="75">
        <f>3355.3+9.71+1668.55+2971.48+624.7+19360.18+5.6+464.48+255.15+33971.25+180.32+3810.41+3733.84+629.24</f>
        <v>71040.210000000006</v>
      </c>
      <c r="I27" s="85">
        <f t="shared" si="9"/>
        <v>24.502668692821679</v>
      </c>
      <c r="J27" s="75">
        <f>5599.48+1741.06+647.72+422.79+353.7+47641.34+4469.07+7814.92+4283.01+1780.09+2348.53+31915.55</f>
        <v>109017.26</v>
      </c>
      <c r="K27" s="85">
        <f t="shared" si="10"/>
        <v>25.303092924776138</v>
      </c>
      <c r="L27" s="35">
        <f t="shared" si="11"/>
        <v>0.53458527220006791</v>
      </c>
      <c r="M27" s="31"/>
      <c r="N27" s="86"/>
      <c r="O27" s="87"/>
      <c r="P27" s="88"/>
      <c r="Q27" s="86"/>
      <c r="R27" s="87"/>
    </row>
    <row r="28" spans="1:24" x14ac:dyDescent="0.2">
      <c r="A28" s="42" t="s">
        <v>81</v>
      </c>
      <c r="B28" s="15">
        <v>258.27999999999997</v>
      </c>
      <c r="C28" s="85">
        <v>8.06791593374038E-2</v>
      </c>
      <c r="D28" s="15">
        <v>0</v>
      </c>
      <c r="E28" s="85">
        <v>0</v>
      </c>
      <c r="F28" s="75">
        <v>0</v>
      </c>
      <c r="G28" s="85">
        <f t="shared" si="8"/>
        <v>0</v>
      </c>
      <c r="H28" s="75">
        <v>104.48</v>
      </c>
      <c r="I28" s="85">
        <f t="shared" si="9"/>
        <v>3.6036476032742709E-2</v>
      </c>
      <c r="J28" s="75">
        <f>261.83+12.15</f>
        <v>273.97999999999996</v>
      </c>
      <c r="K28" s="85">
        <f t="shared" si="10"/>
        <v>6.359122766000691E-2</v>
      </c>
      <c r="L28" s="35">
        <f t="shared" si="11"/>
        <v>1.6223200612557425</v>
      </c>
      <c r="M28" s="31"/>
      <c r="N28" s="86"/>
      <c r="O28" s="87"/>
      <c r="P28" s="88"/>
      <c r="Q28" s="86"/>
      <c r="R28" s="87"/>
    </row>
    <row r="29" spans="1:24" x14ac:dyDescent="0.2">
      <c r="A29" s="42" t="s">
        <v>82</v>
      </c>
      <c r="B29" s="15">
        <v>298.81</v>
      </c>
      <c r="C29" s="85">
        <v>9.3339552429958297E-2</v>
      </c>
      <c r="D29" s="15">
        <v>5970.82</v>
      </c>
      <c r="E29" s="85">
        <v>1.99919915781322</v>
      </c>
      <c r="F29" s="75">
        <v>1507.27</v>
      </c>
      <c r="G29" s="85">
        <f t="shared" si="8"/>
        <v>0.46018414998741963</v>
      </c>
      <c r="H29" s="75">
        <f>543.46+1235.47+244+110.29</f>
        <v>2133.2200000000003</v>
      </c>
      <c r="I29" s="85">
        <f t="shared" si="9"/>
        <v>0.73577461143345535</v>
      </c>
      <c r="J29" s="75">
        <f>887.23+67.77+327.51+4450.82+40.55</f>
        <v>5773.88</v>
      </c>
      <c r="K29" s="85">
        <f t="shared" si="10"/>
        <v>1.340127445658664</v>
      </c>
      <c r="L29" s="35">
        <f t="shared" si="11"/>
        <v>1.7066500407834164</v>
      </c>
      <c r="M29" s="31"/>
      <c r="N29" s="86"/>
      <c r="O29" s="87"/>
      <c r="P29" s="88"/>
      <c r="Q29" s="86"/>
      <c r="R29" s="87"/>
    </row>
    <row r="30" spans="1:24" x14ac:dyDescent="0.2">
      <c r="A30" s="42" t="s">
        <v>83</v>
      </c>
      <c r="B30" s="15">
        <v>856.65</v>
      </c>
      <c r="C30" s="85">
        <v>0.26759254238186098</v>
      </c>
      <c r="D30" s="15">
        <v>318.39999999999998</v>
      </c>
      <c r="E30" s="85">
        <v>0.1066093119283</v>
      </c>
      <c r="F30" s="75">
        <v>109.88</v>
      </c>
      <c r="G30" s="85">
        <f t="shared" si="8"/>
        <v>3.354742972434778E-2</v>
      </c>
      <c r="H30" s="75">
        <f>21.55+161.74</f>
        <v>183.29000000000002</v>
      </c>
      <c r="I30" s="85">
        <f t="shared" si="9"/>
        <v>6.3219043759967578E-2</v>
      </c>
      <c r="J30" s="75">
        <f>998.27+712.16+450.65+200.65+556.28</f>
        <v>2918.01</v>
      </c>
      <c r="K30" s="85">
        <f t="shared" si="10"/>
        <v>0.67727512308992199</v>
      </c>
      <c r="L30" s="35">
        <f t="shared" si="11"/>
        <v>14.920181133722515</v>
      </c>
      <c r="M30" s="31"/>
      <c r="N30" s="86"/>
      <c r="O30" s="87"/>
      <c r="P30" s="31"/>
      <c r="Q30" s="86"/>
      <c r="R30" s="87"/>
    </row>
    <row r="31" spans="1:24" x14ac:dyDescent="0.2">
      <c r="A31" s="38" t="s">
        <v>25</v>
      </c>
      <c r="B31" s="81">
        <v>1987577.03</v>
      </c>
      <c r="C31" s="82">
        <v>100</v>
      </c>
      <c r="D31" s="81">
        <v>1990405.81</v>
      </c>
      <c r="E31" s="82">
        <v>100</v>
      </c>
      <c r="F31" s="81">
        <v>2014435.47</v>
      </c>
      <c r="G31" s="82">
        <f t="shared" ref="G31:G39" si="12">(+F31/$F$31)*100</f>
        <v>100</v>
      </c>
      <c r="H31" s="81">
        <f>SUM(H32:H39)</f>
        <v>1660825.24</v>
      </c>
      <c r="I31" s="82">
        <f t="shared" ref="I31:I39" si="13">(+H31/$H$31)*100</f>
        <v>100</v>
      </c>
      <c r="J31" s="81">
        <f>SUM(J32:J39)</f>
        <v>2066069.3499999999</v>
      </c>
      <c r="K31" s="82">
        <f>(+J31/$J$31)*100</f>
        <v>100</v>
      </c>
      <c r="L31" s="83">
        <f>+J31/H31-1</f>
        <v>0.24400165667039109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4" x14ac:dyDescent="0.2">
      <c r="A32" s="42" t="s">
        <v>76</v>
      </c>
      <c r="B32" s="75">
        <v>1091711.93</v>
      </c>
      <c r="C32" s="85">
        <v>54.926773328629203</v>
      </c>
      <c r="D32" s="75">
        <v>1244936.3400000001</v>
      </c>
      <c r="E32" s="85">
        <v>62.5468602304773</v>
      </c>
      <c r="F32" s="75">
        <v>1365209.36</v>
      </c>
      <c r="G32" s="85">
        <f t="shared" si="12"/>
        <v>67.771312624871527</v>
      </c>
      <c r="H32" s="75">
        <f t="shared" ref="H32:J39" si="14">+H5+H14+H23</f>
        <v>1217648.29</v>
      </c>
      <c r="I32" s="85">
        <f t="shared" si="13"/>
        <v>73.315858928059157</v>
      </c>
      <c r="J32" s="75">
        <f t="shared" si="14"/>
        <v>1405977.64</v>
      </c>
      <c r="K32" s="85">
        <f>(+J32/$J$31)*100</f>
        <v>68.050844469475336</v>
      </c>
      <c r="L32" s="35">
        <f>+J32/H32-1</f>
        <v>0.15466645955705305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1:24" x14ac:dyDescent="0.2">
      <c r="A33" s="42" t="s">
        <v>77</v>
      </c>
      <c r="B33" s="75">
        <v>54424.1</v>
      </c>
      <c r="C33" s="85">
        <v>2.7382133712825198</v>
      </c>
      <c r="D33" s="75">
        <v>35705.599999999999</v>
      </c>
      <c r="E33" s="85">
        <v>1.7938854388693699</v>
      </c>
      <c r="F33" s="75">
        <v>33481.22</v>
      </c>
      <c r="G33" s="85">
        <f t="shared" si="12"/>
        <v>1.6620646577475129</v>
      </c>
      <c r="H33" s="75">
        <f t="shared" si="14"/>
        <v>48334.85</v>
      </c>
      <c r="I33" s="85">
        <f t="shared" si="13"/>
        <v>2.9102911514037442</v>
      </c>
      <c r="J33" s="75">
        <f t="shared" si="14"/>
        <v>50861.31</v>
      </c>
      <c r="K33" s="85">
        <f t="shared" ref="K33:K39" si="15">(+J33/$J$31)*100</f>
        <v>2.4617426322112568</v>
      </c>
      <c r="L33" s="35">
        <f t="shared" ref="L33:L39" si="16">+J33/H33-1</f>
        <v>5.2269946012038826E-2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x14ac:dyDescent="0.2">
      <c r="A34" s="42" t="s">
        <v>78</v>
      </c>
      <c r="B34" s="75">
        <v>265349.02</v>
      </c>
      <c r="C34" s="85">
        <v>13.350376664395201</v>
      </c>
      <c r="D34" s="75">
        <v>72963.149999999994</v>
      </c>
      <c r="E34" s="85">
        <v>3.6657424146084101</v>
      </c>
      <c r="F34" s="75">
        <v>147241.74</v>
      </c>
      <c r="G34" s="85">
        <f t="shared" si="12"/>
        <v>7.3093301916491775</v>
      </c>
      <c r="H34" s="75">
        <f t="shared" si="14"/>
        <v>60459.320000000007</v>
      </c>
      <c r="I34" s="85">
        <f t="shared" si="13"/>
        <v>3.6403179903503875</v>
      </c>
      <c r="J34" s="75">
        <f t="shared" si="14"/>
        <v>88329.81</v>
      </c>
      <c r="K34" s="85">
        <f t="shared" si="15"/>
        <v>4.2752587177192289</v>
      </c>
      <c r="L34" s="35">
        <f t="shared" si="16"/>
        <v>0.46097921710002665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1:24" x14ac:dyDescent="0.2">
      <c r="A35" s="42" t="s">
        <v>79</v>
      </c>
      <c r="B35" s="75">
        <v>12586.11</v>
      </c>
      <c r="C35" s="85">
        <v>0.63323885364080701</v>
      </c>
      <c r="D35" s="75">
        <v>54015.27</v>
      </c>
      <c r="E35" s="85">
        <v>2.7137817689549402</v>
      </c>
      <c r="F35" s="75">
        <v>56854.28</v>
      </c>
      <c r="G35" s="85">
        <f t="shared" si="12"/>
        <v>2.8223430756012253</v>
      </c>
      <c r="H35" s="75">
        <f t="shared" si="14"/>
        <v>31036.749999999996</v>
      </c>
      <c r="I35" s="85">
        <f t="shared" si="13"/>
        <v>1.8687547161795299</v>
      </c>
      <c r="J35" s="75">
        <f t="shared" si="14"/>
        <v>15943.580000000002</v>
      </c>
      <c r="K35" s="85">
        <f t="shared" si="15"/>
        <v>0.77168658447984828</v>
      </c>
      <c r="L35" s="35">
        <f t="shared" si="16"/>
        <v>-0.48629995086470057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1:24" x14ac:dyDescent="0.2">
      <c r="A36" s="42" t="s">
        <v>80</v>
      </c>
      <c r="B36" s="75">
        <v>523100.29</v>
      </c>
      <c r="C36" s="85">
        <v>26.318491414644701</v>
      </c>
      <c r="D36" s="75">
        <v>520990.19</v>
      </c>
      <c r="E36" s="85">
        <v>26.175073815726101</v>
      </c>
      <c r="F36" s="75">
        <v>366085.63</v>
      </c>
      <c r="G36" s="85">
        <f t="shared" si="12"/>
        <v>18.173112787772748</v>
      </c>
      <c r="H36" s="75">
        <f t="shared" si="14"/>
        <v>264442.64</v>
      </c>
      <c r="I36" s="85">
        <f t="shared" si="13"/>
        <v>15.922363992974963</v>
      </c>
      <c r="J36" s="75">
        <f t="shared" si="14"/>
        <v>348947.72000000003</v>
      </c>
      <c r="K36" s="85">
        <f t="shared" si="15"/>
        <v>16.889448556022575</v>
      </c>
      <c r="L36" s="35">
        <f t="shared" si="16"/>
        <v>0.31955920573172314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x14ac:dyDescent="0.2">
      <c r="A37" s="42" t="s">
        <v>81</v>
      </c>
      <c r="B37" s="75">
        <v>13878.37</v>
      </c>
      <c r="C37" s="85">
        <v>0.69825570483675803</v>
      </c>
      <c r="D37" s="75">
        <v>27965.1</v>
      </c>
      <c r="E37" s="85">
        <v>1.40499489398094</v>
      </c>
      <c r="F37" s="75">
        <v>15857.05</v>
      </c>
      <c r="G37" s="85">
        <f t="shared" si="12"/>
        <v>0.78717090897927833</v>
      </c>
      <c r="H37" s="75">
        <f t="shared" si="14"/>
        <v>14433.2</v>
      </c>
      <c r="I37" s="85">
        <f t="shared" si="13"/>
        <v>0.86903785253167276</v>
      </c>
      <c r="J37" s="75">
        <f t="shared" si="14"/>
        <v>119780.15999999999</v>
      </c>
      <c r="K37" s="85">
        <f t="shared" si="15"/>
        <v>5.7974898083648547</v>
      </c>
      <c r="L37" s="35">
        <f t="shared" si="16"/>
        <v>7.2989330155474867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x14ac:dyDescent="0.2">
      <c r="A38" s="42" t="s">
        <v>82</v>
      </c>
      <c r="B38" s="75">
        <v>18966.75</v>
      </c>
      <c r="C38" s="85">
        <v>0.95426490212557902</v>
      </c>
      <c r="D38" s="75">
        <v>22349.83</v>
      </c>
      <c r="E38" s="85">
        <v>1.12287805269218</v>
      </c>
      <c r="F38" s="75">
        <v>25336.880000000001</v>
      </c>
      <c r="G38" s="85">
        <f t="shared" si="12"/>
        <v>1.257765779908552</v>
      </c>
      <c r="H38" s="75">
        <f t="shared" si="14"/>
        <v>19681.010000000002</v>
      </c>
      <c r="I38" s="85">
        <f t="shared" si="13"/>
        <v>1.1850139030883227</v>
      </c>
      <c r="J38" s="75">
        <f t="shared" si="14"/>
        <v>24828.5</v>
      </c>
      <c r="K38" s="85">
        <f t="shared" si="15"/>
        <v>1.2017263602502017</v>
      </c>
      <c r="L38" s="35">
        <f t="shared" si="16"/>
        <v>0.26154602837964092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x14ac:dyDescent="0.2">
      <c r="A39" s="42" t="s">
        <v>83</v>
      </c>
      <c r="B39" s="75">
        <v>7560.46</v>
      </c>
      <c r="C39" s="85">
        <v>0.38038576044521899</v>
      </c>
      <c r="D39" s="75">
        <v>11480.33</v>
      </c>
      <c r="E39" s="85">
        <v>0.57678338469078305</v>
      </c>
      <c r="F39" s="75">
        <v>4369.3100000000004</v>
      </c>
      <c r="G39" s="85">
        <f t="shared" si="12"/>
        <v>0.21689997346998666</v>
      </c>
      <c r="H39" s="75">
        <f t="shared" si="14"/>
        <v>4789.18</v>
      </c>
      <c r="I39" s="85">
        <f t="shared" si="13"/>
        <v>0.28836146541221885</v>
      </c>
      <c r="J39" s="75">
        <f t="shared" si="14"/>
        <v>11400.630000000001</v>
      </c>
      <c r="K39" s="85">
        <f t="shared" si="15"/>
        <v>0.5518028714767006</v>
      </c>
      <c r="L39" s="35">
        <f t="shared" si="16"/>
        <v>1.3804972876358792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x14ac:dyDescent="0.2">
      <c r="A40" s="130" t="s">
        <v>47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84"/>
      <c r="N40" s="90"/>
      <c r="O40" s="91"/>
      <c r="P40" s="84"/>
      <c r="Q40" s="90"/>
      <c r="R40" s="91"/>
    </row>
  </sheetData>
  <mergeCells count="9">
    <mergeCell ref="A40:L40"/>
    <mergeCell ref="A1:L1"/>
    <mergeCell ref="A2:A3"/>
    <mergeCell ref="B2:C2"/>
    <mergeCell ref="D2:E2"/>
    <mergeCell ref="L2:L3"/>
    <mergeCell ref="G2:G3"/>
    <mergeCell ref="I2:I3"/>
    <mergeCell ref="K2:K3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31"/>
  <sheetViews>
    <sheetView topLeftCell="B3" zoomScaleNormal="100" workbookViewId="0">
      <selection activeCell="D25" sqref="D25:L25"/>
    </sheetView>
  </sheetViews>
  <sheetFormatPr baseColWidth="10" defaultColWidth="9.109375" defaultRowHeight="15" x14ac:dyDescent="0.2"/>
  <cols>
    <col min="1" max="1" width="9.109375" style="2"/>
    <col min="2" max="2" width="8.6640625" style="2" customWidth="1"/>
    <col min="3" max="1024" width="9.109375" style="2"/>
  </cols>
  <sheetData>
    <row r="1" spans="1:11" x14ac:dyDescent="0.2">
      <c r="A1" s="96" t="s">
        <v>7</v>
      </c>
      <c r="B1" s="96" t="s">
        <v>91</v>
      </c>
    </row>
    <row r="2" spans="1:11" x14ac:dyDescent="0.2">
      <c r="A2" s="2">
        <v>1992</v>
      </c>
      <c r="B2" s="3">
        <v>-12.53</v>
      </c>
    </row>
    <row r="3" spans="1:11" x14ac:dyDescent="0.2">
      <c r="A3" s="2">
        <v>1993</v>
      </c>
      <c r="B3" s="3">
        <v>-14.43</v>
      </c>
      <c r="D3" s="4"/>
      <c r="E3" s="4"/>
      <c r="F3" s="4"/>
      <c r="G3" s="4"/>
      <c r="H3" s="4"/>
      <c r="I3" s="4"/>
      <c r="J3" s="4"/>
      <c r="K3" s="4"/>
    </row>
    <row r="4" spans="1:11" x14ac:dyDescent="0.2">
      <c r="A4" s="2">
        <v>1994</v>
      </c>
      <c r="B4" s="3">
        <v>10.19</v>
      </c>
      <c r="D4" s="5"/>
      <c r="E4" s="5"/>
      <c r="F4" s="5"/>
      <c r="G4" s="5"/>
      <c r="H4" s="5"/>
      <c r="I4" s="5"/>
      <c r="J4" s="5"/>
      <c r="K4" s="5"/>
    </row>
    <row r="5" spans="1:11" x14ac:dyDescent="0.2">
      <c r="A5" s="2">
        <v>1995</v>
      </c>
      <c r="B5" s="3">
        <v>8.83</v>
      </c>
    </row>
    <row r="6" spans="1:11" x14ac:dyDescent="0.2">
      <c r="A6" s="2">
        <v>1996</v>
      </c>
      <c r="B6" s="3">
        <v>6.25</v>
      </c>
    </row>
    <row r="7" spans="1:11" x14ac:dyDescent="0.2">
      <c r="A7" s="2">
        <v>1997</v>
      </c>
      <c r="B7" s="2">
        <v>8.3000000000000007</v>
      </c>
    </row>
    <row r="8" spans="1:11" x14ac:dyDescent="0.2">
      <c r="A8" s="2">
        <v>1998</v>
      </c>
      <c r="B8" s="2">
        <v>15.7</v>
      </c>
    </row>
    <row r="9" spans="1:11" x14ac:dyDescent="0.2">
      <c r="A9" s="2">
        <v>1999</v>
      </c>
      <c r="B9" s="2">
        <v>20.7</v>
      </c>
    </row>
    <row r="10" spans="1:11" x14ac:dyDescent="0.2">
      <c r="A10" s="2">
        <v>2000</v>
      </c>
      <c r="B10" s="2">
        <v>9.6999999999999993</v>
      </c>
    </row>
    <row r="11" spans="1:11" x14ac:dyDescent="0.2">
      <c r="A11" s="2">
        <v>2001</v>
      </c>
      <c r="B11" s="2">
        <v>5.3</v>
      </c>
    </row>
    <row r="12" spans="1:11" x14ac:dyDescent="0.2">
      <c r="A12" s="2">
        <v>2002</v>
      </c>
      <c r="B12" s="3">
        <v>-3.22</v>
      </c>
    </row>
    <row r="13" spans="1:11" x14ac:dyDescent="0.2">
      <c r="A13" s="2">
        <v>2003</v>
      </c>
      <c r="B13" s="3">
        <v>-7.87</v>
      </c>
    </row>
    <row r="14" spans="1:11" x14ac:dyDescent="0.2">
      <c r="A14" s="2">
        <v>2004</v>
      </c>
      <c r="B14" s="3">
        <v>-1.84</v>
      </c>
    </row>
    <row r="15" spans="1:11" x14ac:dyDescent="0.2">
      <c r="A15" s="2">
        <v>2005</v>
      </c>
      <c r="B15" s="3">
        <v>2.38</v>
      </c>
    </row>
    <row r="16" spans="1:11" x14ac:dyDescent="0.2">
      <c r="A16" s="2">
        <v>2006</v>
      </c>
      <c r="B16" s="2">
        <v>12.6</v>
      </c>
    </row>
    <row r="17" spans="1:12" x14ac:dyDescent="0.2">
      <c r="A17" s="2">
        <v>2007</v>
      </c>
      <c r="B17" s="2">
        <v>-3.7</v>
      </c>
    </row>
    <row r="18" spans="1:12" x14ac:dyDescent="0.2">
      <c r="A18" s="2">
        <v>2008</v>
      </c>
      <c r="B18" s="3">
        <v>-20</v>
      </c>
      <c r="D18" s="6"/>
    </row>
    <row r="19" spans="1:12" x14ac:dyDescent="0.2">
      <c r="A19" s="2">
        <v>2009</v>
      </c>
      <c r="B19" s="3">
        <v>-33.19</v>
      </c>
    </row>
    <row r="20" spans="1:12" x14ac:dyDescent="0.2">
      <c r="A20" s="2">
        <v>2010</v>
      </c>
      <c r="B20" s="3">
        <v>-20.8</v>
      </c>
    </row>
    <row r="21" spans="1:12" x14ac:dyDescent="0.2">
      <c r="A21" s="2">
        <v>2011</v>
      </c>
      <c r="B21" s="3">
        <v>-6.5333881053448302</v>
      </c>
    </row>
    <row r="22" spans="1:12" x14ac:dyDescent="0.2">
      <c r="A22" s="2">
        <v>2012</v>
      </c>
      <c r="B22" s="3">
        <v>-0.414307256724322</v>
      </c>
    </row>
    <row r="23" spans="1:12" x14ac:dyDescent="0.2">
      <c r="A23" s="2">
        <v>2013</v>
      </c>
      <c r="B23" s="3">
        <v>9.1585999196276404</v>
      </c>
    </row>
    <row r="24" spans="1:12" x14ac:dyDescent="0.2">
      <c r="A24" s="2">
        <v>2014</v>
      </c>
      <c r="B24" s="3">
        <v>24.121278140886002</v>
      </c>
    </row>
    <row r="25" spans="1:12" x14ac:dyDescent="0.2">
      <c r="A25" s="2">
        <v>2015</v>
      </c>
      <c r="B25" s="3">
        <v>18.432692780262499</v>
      </c>
      <c r="D25" s="154" t="s">
        <v>111</v>
      </c>
      <c r="E25" s="154"/>
      <c r="F25" s="154"/>
      <c r="G25" s="154"/>
      <c r="H25" s="154"/>
      <c r="I25" s="154"/>
      <c r="J25" s="154"/>
      <c r="K25" s="154"/>
      <c r="L25" s="154"/>
    </row>
    <row r="26" spans="1:12" x14ac:dyDescent="0.2">
      <c r="A26" s="2">
        <v>2016</v>
      </c>
      <c r="B26" s="3">
        <v>-0.23528665505622201</v>
      </c>
    </row>
    <row r="27" spans="1:12" x14ac:dyDescent="0.2">
      <c r="A27" s="2">
        <v>2017</v>
      </c>
      <c r="B27" s="3">
        <v>5.1621640156962201</v>
      </c>
      <c r="D27" s="7"/>
    </row>
    <row r="28" spans="1:12" x14ac:dyDescent="0.2">
      <c r="A28" s="2">
        <v>2018</v>
      </c>
      <c r="B28" s="3">
        <v>-3.2252191314805199</v>
      </c>
    </row>
    <row r="29" spans="1:12" x14ac:dyDescent="0.2">
      <c r="A29" s="2">
        <v>2019</v>
      </c>
      <c r="B29" s="8">
        <v>-2.3038050106102301</v>
      </c>
    </row>
    <row r="30" spans="1:12" x14ac:dyDescent="0.2">
      <c r="A30" s="2">
        <v>2020</v>
      </c>
      <c r="B30" s="2">
        <v>0.8</v>
      </c>
    </row>
    <row r="31" spans="1:12" x14ac:dyDescent="0.2">
      <c r="A31" s="2">
        <v>2021</v>
      </c>
      <c r="B31" s="2">
        <v>10.3</v>
      </c>
    </row>
  </sheetData>
  <mergeCells count="1">
    <mergeCell ref="D25:L25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K32"/>
  <sheetViews>
    <sheetView zoomScaleNormal="100" workbookViewId="0">
      <selection activeCell="C6" sqref="C6"/>
    </sheetView>
  </sheetViews>
  <sheetFormatPr baseColWidth="10" defaultColWidth="9.109375" defaultRowHeight="15" x14ac:dyDescent="0.2"/>
  <cols>
    <col min="1" max="1" width="21.109375" style="2" customWidth="1"/>
    <col min="2" max="5" width="9.109375" style="2"/>
    <col min="6" max="6" width="9.109375" style="21"/>
    <col min="7" max="7" width="11.109375" style="2" customWidth="1"/>
    <col min="8" max="1025" width="9.109375" style="2"/>
  </cols>
  <sheetData>
    <row r="1" spans="1:11" x14ac:dyDescent="0.2">
      <c r="A1" s="122" t="s">
        <v>85</v>
      </c>
      <c r="B1" s="122"/>
      <c r="C1" s="122"/>
      <c r="D1" s="122"/>
      <c r="E1" s="122"/>
      <c r="F1" s="122"/>
      <c r="G1" s="122"/>
    </row>
    <row r="2" spans="1:11" x14ac:dyDescent="0.2">
      <c r="A2" s="9"/>
      <c r="B2" s="10">
        <v>2017</v>
      </c>
      <c r="C2" s="10">
        <v>2018</v>
      </c>
      <c r="D2" s="10">
        <v>2019</v>
      </c>
      <c r="E2" s="10">
        <v>2020</v>
      </c>
      <c r="F2" s="10">
        <v>2021</v>
      </c>
      <c r="G2" s="10" t="s">
        <v>86</v>
      </c>
    </row>
    <row r="3" spans="1:11" x14ac:dyDescent="0.2">
      <c r="A3" s="103" t="s">
        <v>8</v>
      </c>
      <c r="B3" s="104">
        <v>312197</v>
      </c>
      <c r="C3" s="104">
        <v>317605</v>
      </c>
      <c r="D3" s="104">
        <v>0</v>
      </c>
      <c r="E3" s="104">
        <v>0</v>
      </c>
      <c r="F3" s="104">
        <v>0</v>
      </c>
      <c r="G3" s="105" t="s">
        <v>112</v>
      </c>
    </row>
    <row r="4" spans="1:11" x14ac:dyDescent="0.2">
      <c r="A4" s="126" t="s">
        <v>9</v>
      </c>
      <c r="B4" s="127"/>
      <c r="C4" s="127"/>
      <c r="D4" s="127"/>
      <c r="E4" s="127"/>
      <c r="F4" s="127"/>
      <c r="G4" s="128"/>
    </row>
    <row r="5" spans="1:11" x14ac:dyDescent="0.2">
      <c r="A5" s="13" t="s">
        <v>10</v>
      </c>
      <c r="B5" s="15">
        <v>107475</v>
      </c>
      <c r="C5" s="15">
        <v>106496</v>
      </c>
      <c r="D5" s="15">
        <v>299009</v>
      </c>
      <c r="E5" s="15">
        <v>257929</v>
      </c>
      <c r="F5" s="22">
        <v>198314</v>
      </c>
      <c r="G5" s="14">
        <f>+F5/E5-1</f>
        <v>-0.23112949687704754</v>
      </c>
      <c r="H5" s="16"/>
      <c r="I5" s="17"/>
      <c r="J5" s="16"/>
      <c r="K5" s="18"/>
    </row>
    <row r="6" spans="1:11" x14ac:dyDescent="0.2">
      <c r="A6" s="13" t="s">
        <v>11</v>
      </c>
      <c r="B6" s="15">
        <v>131494</v>
      </c>
      <c r="C6" s="15">
        <v>97110</v>
      </c>
      <c r="D6" s="15">
        <v>284</v>
      </c>
      <c r="E6" s="15">
        <v>179</v>
      </c>
      <c r="F6" s="22">
        <v>195</v>
      </c>
      <c r="G6" s="14">
        <f t="shared" ref="G6:G22" si="0">+F6/E6-1</f>
        <v>8.9385474860335101E-2</v>
      </c>
      <c r="H6" s="16"/>
      <c r="I6" s="16"/>
      <c r="J6" s="16"/>
      <c r="K6" s="18"/>
    </row>
    <row r="7" spans="1:11" x14ac:dyDescent="0.2">
      <c r="A7" s="13" t="s">
        <v>12</v>
      </c>
      <c r="B7" s="15">
        <v>-24019</v>
      </c>
      <c r="C7" s="15">
        <v>9386</v>
      </c>
      <c r="D7" s="15">
        <f>+D5-D6</f>
        <v>298725</v>
      </c>
      <c r="E7" s="15">
        <f>+E5-E6</f>
        <v>257750</v>
      </c>
      <c r="F7" s="22">
        <f>+F5-F6</f>
        <v>198119</v>
      </c>
      <c r="G7" s="14">
        <f t="shared" si="0"/>
        <v>-0.23135208535402518</v>
      </c>
      <c r="H7" s="7"/>
      <c r="I7" s="16"/>
      <c r="J7" s="7"/>
      <c r="K7" s="18"/>
    </row>
    <row r="8" spans="1:11" x14ac:dyDescent="0.2">
      <c r="A8" s="126" t="s">
        <v>13</v>
      </c>
      <c r="B8" s="127"/>
      <c r="C8" s="127"/>
      <c r="D8" s="127"/>
      <c r="E8" s="127"/>
      <c r="F8" s="127"/>
      <c r="G8" s="128"/>
    </row>
    <row r="9" spans="1:11" x14ac:dyDescent="0.2">
      <c r="A9" s="13" t="s">
        <v>10</v>
      </c>
      <c r="B9" s="15">
        <v>25932</v>
      </c>
      <c r="C9" s="15">
        <v>4139</v>
      </c>
      <c r="D9" s="15">
        <v>19390</v>
      </c>
      <c r="E9" s="15">
        <v>73854</v>
      </c>
      <c r="F9" s="22">
        <v>85718</v>
      </c>
      <c r="G9" s="14">
        <f t="shared" si="0"/>
        <v>0.16064126519890598</v>
      </c>
      <c r="H9" s="16"/>
    </row>
    <row r="10" spans="1:11" x14ac:dyDescent="0.2">
      <c r="A10" s="13" t="s">
        <v>11</v>
      </c>
      <c r="B10" s="15">
        <v>153</v>
      </c>
      <c r="C10" s="15">
        <v>1863</v>
      </c>
      <c r="D10" s="15">
        <v>1144</v>
      </c>
      <c r="E10" s="15">
        <v>106</v>
      </c>
      <c r="F10" s="22">
        <v>765</v>
      </c>
      <c r="G10" s="14">
        <f t="shared" si="0"/>
        <v>6.216981132075472</v>
      </c>
    </row>
    <row r="11" spans="1:11" x14ac:dyDescent="0.2">
      <c r="A11" s="13" t="s">
        <v>12</v>
      </c>
      <c r="B11" s="15">
        <v>25779</v>
      </c>
      <c r="C11" s="15">
        <v>2276</v>
      </c>
      <c r="D11" s="15">
        <f>+D9-D10</f>
        <v>18246</v>
      </c>
      <c r="E11" s="15">
        <f>+E9-E10</f>
        <v>73748</v>
      </c>
      <c r="F11" s="22">
        <f>+F9-F10</f>
        <v>84953</v>
      </c>
      <c r="G11" s="14">
        <f t="shared" si="0"/>
        <v>0.15193632369691379</v>
      </c>
      <c r="H11" s="7"/>
      <c r="I11" s="16"/>
      <c r="J11" s="7"/>
    </row>
    <row r="12" spans="1:11" x14ac:dyDescent="0.2">
      <c r="A12" s="126" t="s">
        <v>14</v>
      </c>
      <c r="B12" s="127"/>
      <c r="C12" s="127"/>
      <c r="D12" s="127"/>
      <c r="E12" s="127"/>
      <c r="F12" s="127"/>
      <c r="G12" s="128"/>
    </row>
    <row r="13" spans="1:11" x14ac:dyDescent="0.2">
      <c r="A13" s="13" t="s">
        <v>10</v>
      </c>
      <c r="B13" s="15">
        <v>22789</v>
      </c>
      <c r="C13" s="15">
        <v>24897</v>
      </c>
      <c r="D13" s="15">
        <v>33156</v>
      </c>
      <c r="E13" s="15">
        <v>26316</v>
      </c>
      <c r="F13" s="22">
        <v>21509</v>
      </c>
      <c r="G13" s="14">
        <f t="shared" si="0"/>
        <v>-0.18266453868369048</v>
      </c>
    </row>
    <row r="14" spans="1:11" x14ac:dyDescent="0.2">
      <c r="A14" s="13" t="s">
        <v>11</v>
      </c>
      <c r="B14" s="15">
        <v>0</v>
      </c>
      <c r="C14" s="15">
        <v>0</v>
      </c>
      <c r="D14" s="15">
        <v>0</v>
      </c>
      <c r="E14" s="15">
        <v>0</v>
      </c>
      <c r="F14" s="22">
        <v>0</v>
      </c>
      <c r="G14" s="19" t="s">
        <v>112</v>
      </c>
    </row>
    <row r="15" spans="1:11" x14ac:dyDescent="0.2">
      <c r="A15" s="13" t="s">
        <v>12</v>
      </c>
      <c r="B15" s="15">
        <v>22789</v>
      </c>
      <c r="C15" s="15">
        <v>24897</v>
      </c>
      <c r="D15" s="15">
        <f>+D13-D14</f>
        <v>33156</v>
      </c>
      <c r="E15" s="15">
        <f>+E13-E14</f>
        <v>26316</v>
      </c>
      <c r="F15" s="22">
        <f>+F13-F14</f>
        <v>21509</v>
      </c>
      <c r="G15" s="14">
        <f t="shared" si="0"/>
        <v>-0.18266453868369048</v>
      </c>
      <c r="H15" s="7"/>
      <c r="I15" s="16"/>
      <c r="J15" s="7"/>
    </row>
    <row r="16" spans="1:11" x14ac:dyDescent="0.2">
      <c r="A16" s="126" t="s">
        <v>15</v>
      </c>
      <c r="B16" s="127"/>
      <c r="C16" s="127"/>
      <c r="D16" s="127"/>
      <c r="E16" s="127"/>
      <c r="F16" s="127"/>
      <c r="G16" s="128"/>
    </row>
    <row r="17" spans="1:10" x14ac:dyDescent="0.2">
      <c r="A17" s="13" t="s">
        <v>10</v>
      </c>
      <c r="B17" s="15">
        <v>108704</v>
      </c>
      <c r="C17" s="15">
        <v>106735</v>
      </c>
      <c r="D17" s="15">
        <f>114534+4154</f>
        <v>118688</v>
      </c>
      <c r="E17" s="15">
        <f>102167+3566</f>
        <v>105733</v>
      </c>
      <c r="F17" s="22">
        <f>82441+3994</f>
        <v>86435</v>
      </c>
      <c r="G17" s="14">
        <f t="shared" si="0"/>
        <v>-0.18251633832389136</v>
      </c>
      <c r="I17" s="16"/>
    </row>
    <row r="18" spans="1:10" x14ac:dyDescent="0.2">
      <c r="A18" s="13" t="s">
        <v>11</v>
      </c>
      <c r="B18" s="15">
        <v>5835</v>
      </c>
      <c r="C18" s="15">
        <v>5126</v>
      </c>
      <c r="D18" s="15">
        <f>4093+49</f>
        <v>4142</v>
      </c>
      <c r="E18" s="15">
        <f>3853+24</f>
        <v>3877</v>
      </c>
      <c r="F18" s="22">
        <v>4025</v>
      </c>
      <c r="G18" s="14">
        <f t="shared" si="0"/>
        <v>3.8173845757028646E-2</v>
      </c>
      <c r="I18" s="16"/>
    </row>
    <row r="19" spans="1:10" x14ac:dyDescent="0.2">
      <c r="A19" s="13" t="s">
        <v>12</v>
      </c>
      <c r="B19" s="15">
        <v>102869</v>
      </c>
      <c r="C19" s="15">
        <v>101609</v>
      </c>
      <c r="D19" s="15">
        <f>+D17-D18</f>
        <v>114546</v>
      </c>
      <c r="E19" s="15">
        <f>+E17-E18</f>
        <v>101856</v>
      </c>
      <c r="F19" s="22">
        <f>+F17-F18</f>
        <v>82410</v>
      </c>
      <c r="G19" s="14">
        <f t="shared" si="0"/>
        <v>-0.19091658812441092</v>
      </c>
      <c r="H19" s="7"/>
      <c r="I19" s="16"/>
      <c r="J19" s="7"/>
    </row>
    <row r="20" spans="1:10" x14ac:dyDescent="0.2">
      <c r="A20" s="11" t="s">
        <v>16</v>
      </c>
      <c r="B20" s="12">
        <v>127418</v>
      </c>
      <c r="C20" s="12">
        <v>138168</v>
      </c>
      <c r="D20" s="12">
        <f>+D7+D11+D15+D19</f>
        <v>464673</v>
      </c>
      <c r="E20" s="12">
        <f>+E7+E11+E15+E19</f>
        <v>459670</v>
      </c>
      <c r="F20" s="12">
        <f>+F7+F11+F15+F19</f>
        <v>386991</v>
      </c>
      <c r="G20" s="20">
        <f>+F20/E20-1</f>
        <v>-0.15811125372549872</v>
      </c>
      <c r="H20" s="16"/>
      <c r="I20" s="16"/>
      <c r="J20" s="95"/>
    </row>
    <row r="21" spans="1:10" x14ac:dyDescent="0.2">
      <c r="A21" s="13" t="s">
        <v>17</v>
      </c>
      <c r="B21" s="15">
        <v>439615</v>
      </c>
      <c r="C21" s="15">
        <v>455773</v>
      </c>
      <c r="D21" s="15">
        <f>+D3+D20</f>
        <v>464673</v>
      </c>
      <c r="E21" s="15">
        <f>+E3+E20</f>
        <v>459670</v>
      </c>
      <c r="F21" s="22">
        <f>+F3+F20+E23</f>
        <v>460538.2</v>
      </c>
      <c r="G21" s="14">
        <f t="shared" si="0"/>
        <v>1.8887462745011963E-3</v>
      </c>
      <c r="H21" s="16"/>
      <c r="I21" s="16"/>
      <c r="J21" s="95"/>
    </row>
    <row r="22" spans="1:10" x14ac:dyDescent="0.2">
      <c r="A22" s="13" t="s">
        <v>18</v>
      </c>
      <c r="B22" s="15">
        <v>439615</v>
      </c>
      <c r="C22" s="15">
        <v>455773</v>
      </c>
      <c r="D22" s="15">
        <f>+D21</f>
        <v>464673</v>
      </c>
      <c r="E22" s="15">
        <f>+E21*0.84</f>
        <v>386122.8</v>
      </c>
      <c r="F22" s="22">
        <f>+F21</f>
        <v>460538.2</v>
      </c>
      <c r="G22" s="14">
        <f t="shared" si="0"/>
        <v>0.19272469794583502</v>
      </c>
      <c r="H22" s="16"/>
      <c r="I22" s="16"/>
      <c r="J22" s="95"/>
    </row>
    <row r="23" spans="1:10" x14ac:dyDescent="0.2">
      <c r="A23" s="13" t="s">
        <v>19</v>
      </c>
      <c r="B23" s="22">
        <v>0</v>
      </c>
      <c r="C23" s="22">
        <v>0</v>
      </c>
      <c r="D23" s="22">
        <f>+D21-D22</f>
        <v>0</v>
      </c>
      <c r="E23" s="22">
        <f>+E21-E22</f>
        <v>73547.200000000012</v>
      </c>
      <c r="F23" s="22">
        <f>+F21-F22</f>
        <v>0</v>
      </c>
      <c r="G23" s="19" t="s">
        <v>112</v>
      </c>
    </row>
    <row r="24" spans="1:10" x14ac:dyDescent="0.2">
      <c r="A24" s="123" t="s">
        <v>20</v>
      </c>
      <c r="B24" s="123"/>
      <c r="C24" s="123"/>
      <c r="D24" s="123"/>
      <c r="E24" s="123"/>
      <c r="F24" s="123"/>
      <c r="G24" s="123"/>
    </row>
    <row r="25" spans="1:10" x14ac:dyDescent="0.2">
      <c r="A25" s="124" t="s">
        <v>21</v>
      </c>
      <c r="B25" s="124"/>
      <c r="C25" s="124"/>
      <c r="D25" s="124"/>
      <c r="E25" s="124"/>
      <c r="F25" s="124"/>
      <c r="G25" s="124"/>
    </row>
    <row r="26" spans="1:10" x14ac:dyDescent="0.2">
      <c r="A26" s="124" t="s">
        <v>22</v>
      </c>
      <c r="B26" s="124"/>
      <c r="C26" s="124"/>
      <c r="D26" s="124"/>
      <c r="E26" s="124"/>
      <c r="F26" s="124"/>
      <c r="G26" s="124"/>
    </row>
    <row r="27" spans="1:10" ht="30" customHeight="1" x14ac:dyDescent="0.2">
      <c r="A27" s="125" t="s">
        <v>120</v>
      </c>
      <c r="B27" s="125"/>
      <c r="C27" s="125"/>
      <c r="D27" s="125"/>
      <c r="E27" s="125"/>
      <c r="F27" s="125"/>
      <c r="G27" s="125"/>
    </row>
    <row r="32" spans="1:10" x14ac:dyDescent="0.2">
      <c r="A32" s="24"/>
    </row>
  </sheetData>
  <mergeCells count="9">
    <mergeCell ref="A1:G1"/>
    <mergeCell ref="A24:G24"/>
    <mergeCell ref="A25:G25"/>
    <mergeCell ref="A26:G26"/>
    <mergeCell ref="A27:G27"/>
    <mergeCell ref="A4:G4"/>
    <mergeCell ref="A8:G8"/>
    <mergeCell ref="A12:G12"/>
    <mergeCell ref="A16:G16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K11"/>
  <sheetViews>
    <sheetView zoomScale="115" zoomScaleNormal="115" workbookViewId="0">
      <selection activeCell="A8" sqref="A8:F8"/>
    </sheetView>
  </sheetViews>
  <sheetFormatPr baseColWidth="10" defaultColWidth="9.109375" defaultRowHeight="15" x14ac:dyDescent="0.2"/>
  <cols>
    <col min="1" max="1" width="11.109375" style="2" customWidth="1"/>
    <col min="2" max="4" width="9.109375" style="2"/>
    <col min="5" max="5" width="9.109375" style="21"/>
    <col min="6" max="8" width="9.109375" style="2"/>
    <col min="9" max="9" width="8.88671875" style="2" customWidth="1"/>
    <col min="10" max="1025" width="9.109375" style="2"/>
  </cols>
  <sheetData>
    <row r="1" spans="1:14" ht="15.75" customHeight="1" x14ac:dyDescent="0.2">
      <c r="A1" s="129" t="s">
        <v>87</v>
      </c>
      <c r="B1" s="129"/>
      <c r="C1" s="129"/>
      <c r="D1" s="129"/>
      <c r="E1" s="129"/>
      <c r="F1" s="129"/>
    </row>
    <row r="2" spans="1:14" x14ac:dyDescent="0.2">
      <c r="A2" s="9"/>
      <c r="B2" s="10">
        <v>2018</v>
      </c>
      <c r="C2" s="10">
        <v>2019</v>
      </c>
      <c r="D2" s="10">
        <v>2020</v>
      </c>
      <c r="E2" s="10">
        <v>2021</v>
      </c>
      <c r="F2" s="10" t="s">
        <v>113</v>
      </c>
      <c r="G2" s="25"/>
      <c r="H2" s="25"/>
      <c r="I2" s="25"/>
      <c r="J2" s="25"/>
      <c r="K2" s="26"/>
      <c r="L2" s="27"/>
      <c r="M2" s="27"/>
    </row>
    <row r="3" spans="1:14" x14ac:dyDescent="0.2">
      <c r="A3" s="13" t="s">
        <v>23</v>
      </c>
      <c r="B3" s="15">
        <f>400+322783</f>
        <v>323183</v>
      </c>
      <c r="C3" s="15">
        <v>351125</v>
      </c>
      <c r="D3" s="15">
        <f>819+315277</f>
        <v>316096</v>
      </c>
      <c r="E3" s="22">
        <v>335393</v>
      </c>
      <c r="F3" s="14">
        <f>+E3/D3-1</f>
        <v>6.1047909495849373E-2</v>
      </c>
      <c r="G3" s="28"/>
      <c r="H3" s="7"/>
      <c r="I3" s="29"/>
      <c r="J3" s="7"/>
      <c r="K3" s="30"/>
      <c r="L3" s="31"/>
      <c r="M3" s="31"/>
      <c r="N3" s="16"/>
    </row>
    <row r="4" spans="1:14" x14ac:dyDescent="0.2">
      <c r="A4" s="13" t="s">
        <v>24</v>
      </c>
      <c r="B4" s="15">
        <f>12071+28689</f>
        <v>40760</v>
      </c>
      <c r="C4" s="15">
        <v>55157</v>
      </c>
      <c r="D4" s="15">
        <f>540+20657</f>
        <v>21197</v>
      </c>
      <c r="E4" s="22">
        <v>35199</v>
      </c>
      <c r="F4" s="14">
        <f t="shared" ref="F4:F6" si="0">+E4/D4-1</f>
        <v>0.66056517431712036</v>
      </c>
      <c r="G4" s="28"/>
      <c r="H4" s="7"/>
      <c r="I4" s="29"/>
      <c r="J4" s="29"/>
      <c r="K4" s="30"/>
      <c r="L4" s="27"/>
      <c r="M4" s="17"/>
      <c r="N4" s="17"/>
    </row>
    <row r="5" spans="1:14" x14ac:dyDescent="0.2">
      <c r="A5" s="13" t="s">
        <v>14</v>
      </c>
      <c r="B5" s="15">
        <v>20996</v>
      </c>
      <c r="C5" s="15">
        <v>30573</v>
      </c>
      <c r="D5" s="15">
        <f>25+19323</f>
        <v>19348</v>
      </c>
      <c r="E5" s="22">
        <v>18980</v>
      </c>
      <c r="F5" s="14">
        <f t="shared" si="0"/>
        <v>-1.9020053752325849E-2</v>
      </c>
      <c r="G5" s="7"/>
      <c r="H5" s="7"/>
      <c r="I5" s="29"/>
      <c r="J5" s="29"/>
      <c r="K5" s="30"/>
      <c r="L5" s="27"/>
      <c r="M5" s="32"/>
      <c r="N5" s="17"/>
    </row>
    <row r="6" spans="1:14" x14ac:dyDescent="0.2">
      <c r="A6" s="13" t="s">
        <v>15</v>
      </c>
      <c r="B6" s="15">
        <f>1526+109780+323+34596</f>
        <v>146225</v>
      </c>
      <c r="C6" s="15">
        <f>129972+31732</f>
        <v>161704</v>
      </c>
      <c r="D6" s="15">
        <f>2670+115172+347+27066</f>
        <v>145255</v>
      </c>
      <c r="E6" s="22">
        <f>188485+42747</f>
        <v>231232</v>
      </c>
      <c r="F6" s="14">
        <f t="shared" si="0"/>
        <v>0.59190389315341996</v>
      </c>
      <c r="G6" s="7"/>
      <c r="H6" s="7"/>
      <c r="I6" s="31"/>
      <c r="J6" s="29"/>
      <c r="K6" s="30"/>
      <c r="L6" s="27"/>
      <c r="M6" s="32"/>
      <c r="N6" s="17"/>
    </row>
    <row r="7" spans="1:14" x14ac:dyDescent="0.2">
      <c r="A7" s="11" t="s">
        <v>25</v>
      </c>
      <c r="B7" s="12">
        <f>SUM(B3:B6)</f>
        <v>531164</v>
      </c>
      <c r="C7" s="12">
        <f>SUM(C3:C6)</f>
        <v>598559</v>
      </c>
      <c r="D7" s="12">
        <f>SUM(D3:D6)</f>
        <v>501896</v>
      </c>
      <c r="E7" s="12">
        <f>SUM(E3:E6)</f>
        <v>620804</v>
      </c>
      <c r="F7" s="20">
        <f>+E7/D7-1</f>
        <v>0.2369176084288378</v>
      </c>
      <c r="G7" s="31"/>
      <c r="H7" s="31"/>
      <c r="I7" s="31"/>
      <c r="J7" s="31"/>
      <c r="K7" s="30"/>
      <c r="L7" s="27"/>
      <c r="M7" s="32"/>
      <c r="N7" s="17"/>
    </row>
    <row r="8" spans="1:14" x14ac:dyDescent="0.2">
      <c r="A8" s="130" t="s">
        <v>26</v>
      </c>
      <c r="B8" s="130"/>
      <c r="C8" s="130"/>
      <c r="D8" s="130"/>
      <c r="E8" s="130"/>
      <c r="F8" s="130"/>
    </row>
    <row r="11" spans="1:14" x14ac:dyDescent="0.2">
      <c r="A11" s="24"/>
    </row>
  </sheetData>
  <mergeCells count="2">
    <mergeCell ref="A1:F1"/>
    <mergeCell ref="A8:F8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MJ36"/>
  <sheetViews>
    <sheetView topLeftCell="A7" zoomScaleNormal="100" workbookViewId="0">
      <selection activeCell="D5" sqref="D5"/>
    </sheetView>
  </sheetViews>
  <sheetFormatPr baseColWidth="10" defaultColWidth="9.109375" defaultRowHeight="15" x14ac:dyDescent="0.2"/>
  <cols>
    <col min="1" max="1" width="11.5546875" style="2" customWidth="1"/>
    <col min="2" max="7" width="8.88671875" style="2" customWidth="1"/>
    <col min="8" max="8" width="4.88671875" style="2" customWidth="1"/>
    <col min="9" max="10" width="3.6640625" style="2" customWidth="1"/>
    <col min="11" max="1024" width="9.109375" style="2"/>
  </cols>
  <sheetData>
    <row r="1" spans="1:1024" x14ac:dyDescent="0.2">
      <c r="A1" s="131" t="s">
        <v>121</v>
      </c>
      <c r="B1" s="131"/>
      <c r="C1" s="131"/>
      <c r="D1" s="131"/>
      <c r="E1" s="131"/>
      <c r="F1" s="131"/>
      <c r="G1" s="131"/>
    </row>
    <row r="2" spans="1:1024" ht="33.75" x14ac:dyDescent="0.2">
      <c r="A2" s="13"/>
      <c r="B2" s="33" t="s">
        <v>28</v>
      </c>
      <c r="C2" s="33" t="s">
        <v>29</v>
      </c>
      <c r="D2" s="33" t="s">
        <v>30</v>
      </c>
      <c r="E2" s="33" t="s">
        <v>31</v>
      </c>
      <c r="F2" s="33" t="s">
        <v>32</v>
      </c>
      <c r="G2" s="33" t="s">
        <v>30</v>
      </c>
    </row>
    <row r="3" spans="1:1024" x14ac:dyDescent="0.2">
      <c r="A3" s="34">
        <v>2011</v>
      </c>
      <c r="B3" s="15">
        <v>83862</v>
      </c>
      <c r="C3" s="15">
        <v>80090</v>
      </c>
      <c r="D3" s="15">
        <v>163952</v>
      </c>
      <c r="E3" s="15">
        <v>51446</v>
      </c>
      <c r="F3" s="15">
        <v>112506</v>
      </c>
      <c r="G3" s="15">
        <v>163952</v>
      </c>
    </row>
    <row r="4" spans="1:1024" x14ac:dyDescent="0.2">
      <c r="A4" s="34">
        <v>2012</v>
      </c>
      <c r="B4" s="15">
        <v>22405</v>
      </c>
      <c r="C4" s="15">
        <v>103886</v>
      </c>
      <c r="D4" s="15">
        <v>126291</v>
      </c>
      <c r="E4" s="15">
        <v>23128</v>
      </c>
      <c r="F4" s="15">
        <v>103163</v>
      </c>
      <c r="G4" s="15">
        <v>126291</v>
      </c>
      <c r="H4" s="7"/>
      <c r="I4" s="7"/>
      <c r="J4" s="7"/>
    </row>
    <row r="5" spans="1:1024" x14ac:dyDescent="0.2">
      <c r="A5" s="34">
        <v>2013</v>
      </c>
      <c r="B5" s="15">
        <v>41900</v>
      </c>
      <c r="C5" s="15">
        <v>154775</v>
      </c>
      <c r="D5" s="15">
        <v>196675</v>
      </c>
      <c r="E5" s="15">
        <v>31955</v>
      </c>
      <c r="F5" s="15">
        <v>164720</v>
      </c>
      <c r="G5" s="15">
        <v>196675</v>
      </c>
      <c r="H5" s="7"/>
      <c r="I5" s="7"/>
      <c r="J5" s="7"/>
    </row>
    <row r="6" spans="1:1024" x14ac:dyDescent="0.2">
      <c r="A6" s="34">
        <v>2014</v>
      </c>
      <c r="B6" s="15">
        <v>47770</v>
      </c>
      <c r="C6" s="15">
        <v>130206</v>
      </c>
      <c r="D6" s="15">
        <v>177976</v>
      </c>
      <c r="E6" s="15">
        <v>47321</v>
      </c>
      <c r="F6" s="15">
        <v>130655</v>
      </c>
      <c r="G6" s="15">
        <v>177976</v>
      </c>
      <c r="H6" s="7"/>
      <c r="I6" s="7"/>
      <c r="J6" s="7"/>
    </row>
    <row r="7" spans="1:1024" x14ac:dyDescent="0.2">
      <c r="A7" s="34">
        <v>2015</v>
      </c>
      <c r="B7" s="15">
        <v>70191</v>
      </c>
      <c r="C7" s="15">
        <v>193028</v>
      </c>
      <c r="D7" s="15">
        <v>263219</v>
      </c>
      <c r="E7" s="15">
        <v>180622</v>
      </c>
      <c r="F7" s="15">
        <v>82597</v>
      </c>
      <c r="G7" s="15">
        <v>263219</v>
      </c>
      <c r="H7" s="7"/>
      <c r="I7" s="7"/>
      <c r="J7" s="7"/>
    </row>
    <row r="8" spans="1:1024" x14ac:dyDescent="0.2">
      <c r="A8" s="34">
        <v>2016</v>
      </c>
      <c r="B8" s="15">
        <v>66132</v>
      </c>
      <c r="C8" s="15">
        <v>267685</v>
      </c>
      <c r="D8" s="15">
        <v>333817</v>
      </c>
      <c r="E8" s="15">
        <v>156754</v>
      </c>
      <c r="F8" s="15">
        <v>177063</v>
      </c>
      <c r="G8" s="15">
        <v>333817</v>
      </c>
      <c r="H8" s="7"/>
      <c r="I8" s="7"/>
      <c r="J8" s="7"/>
    </row>
    <row r="9" spans="1:1024" x14ac:dyDescent="0.2">
      <c r="A9" s="34">
        <v>2017</v>
      </c>
      <c r="B9" s="15">
        <v>140500</v>
      </c>
      <c r="C9" s="15">
        <v>226050</v>
      </c>
      <c r="D9" s="15">
        <v>366550</v>
      </c>
      <c r="E9" s="15">
        <v>110180</v>
      </c>
      <c r="F9" s="15">
        <v>256370</v>
      </c>
      <c r="G9" s="15">
        <v>366550</v>
      </c>
      <c r="H9" s="7"/>
      <c r="I9" s="7"/>
      <c r="J9" s="7"/>
    </row>
    <row r="10" spans="1:1024" x14ac:dyDescent="0.2">
      <c r="A10" s="34">
        <v>2018</v>
      </c>
      <c r="B10" s="15">
        <v>153660</v>
      </c>
      <c r="C10" s="15">
        <v>251900</v>
      </c>
      <c r="D10" s="15">
        <v>405550</v>
      </c>
      <c r="E10" s="15">
        <v>113420</v>
      </c>
      <c r="F10" s="15">
        <v>292140</v>
      </c>
      <c r="G10" s="15">
        <v>405550</v>
      </c>
      <c r="H10" s="7"/>
      <c r="I10" s="7"/>
      <c r="J10" s="7"/>
    </row>
    <row r="11" spans="1:1024" x14ac:dyDescent="0.2">
      <c r="A11" s="34">
        <v>2019</v>
      </c>
      <c r="B11" s="15">
        <v>533210</v>
      </c>
      <c r="C11" s="15">
        <v>186880</v>
      </c>
      <c r="D11" s="15">
        <v>720100</v>
      </c>
      <c r="E11" s="15">
        <v>497770</v>
      </c>
      <c r="F11" s="15">
        <f>82470+139860</f>
        <v>222330</v>
      </c>
      <c r="G11" s="15">
        <f>+E11+F11</f>
        <v>720100</v>
      </c>
      <c r="H11" s="7"/>
      <c r="I11" s="7"/>
      <c r="J11" s="7"/>
    </row>
    <row r="12" spans="1:1024" x14ac:dyDescent="0.2">
      <c r="A12" s="34">
        <v>2020</v>
      </c>
      <c r="B12" s="15">
        <v>260034</v>
      </c>
      <c r="C12" s="15">
        <v>176245</v>
      </c>
      <c r="D12" s="15">
        <f>+B12+C12</f>
        <v>436279</v>
      </c>
      <c r="E12" s="15">
        <v>90645</v>
      </c>
      <c r="F12" s="15">
        <f>138656+206978</f>
        <v>345634</v>
      </c>
      <c r="G12" s="15">
        <f>+E12+F12</f>
        <v>436279</v>
      </c>
      <c r="H12" s="7"/>
      <c r="I12" s="7"/>
      <c r="J12" s="7"/>
    </row>
    <row r="13" spans="1:1024" x14ac:dyDescent="0.2">
      <c r="A13" s="34">
        <v>2021</v>
      </c>
      <c r="B13" s="22">
        <v>316520</v>
      </c>
      <c r="C13" s="22">
        <v>269137</v>
      </c>
      <c r="D13" s="22">
        <v>585656</v>
      </c>
      <c r="E13" s="22">
        <v>110588</v>
      </c>
      <c r="F13" s="22">
        <f>193862+281206</f>
        <v>475068</v>
      </c>
      <c r="G13" s="22">
        <f>+E13+F13</f>
        <v>585656</v>
      </c>
      <c r="H13" s="7"/>
      <c r="I13" s="7"/>
      <c r="J13" s="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</row>
    <row r="14" spans="1:1024" x14ac:dyDescent="0.2">
      <c r="A14" s="11" t="s">
        <v>88</v>
      </c>
      <c r="B14" s="37">
        <f t="shared" ref="B14:C14" si="0">+B13/B12-1</f>
        <v>0.21722543975018649</v>
      </c>
      <c r="C14" s="37">
        <f t="shared" si="0"/>
        <v>0.52706176061732246</v>
      </c>
      <c r="D14" s="37">
        <f>+D13/D12-1</f>
        <v>0.34238870080842765</v>
      </c>
      <c r="E14" s="37">
        <f t="shared" ref="E14:F14" si="1">+E13/E12-1</f>
        <v>0.22001213525290964</v>
      </c>
      <c r="F14" s="37">
        <f t="shared" si="1"/>
        <v>0.37448283444337083</v>
      </c>
      <c r="G14" s="37">
        <f>+G13/G12-1</f>
        <v>0.34238870080842765</v>
      </c>
      <c r="H14" s="17"/>
    </row>
    <row r="15" spans="1:1024" ht="10.5" customHeight="1" x14ac:dyDescent="0.2">
      <c r="A15" s="132" t="s">
        <v>114</v>
      </c>
      <c r="B15" s="132"/>
      <c r="C15" s="132"/>
      <c r="D15" s="132"/>
      <c r="E15" s="132"/>
      <c r="F15" s="132"/>
      <c r="G15" s="132"/>
    </row>
    <row r="16" spans="1:1024" x14ac:dyDescent="0.2">
      <c r="A16" s="133"/>
      <c r="B16" s="133"/>
      <c r="C16" s="133"/>
      <c r="D16" s="133"/>
      <c r="E16" s="133"/>
      <c r="F16" s="133"/>
      <c r="G16" s="133"/>
    </row>
    <row r="18" spans="7:7" x14ac:dyDescent="0.2">
      <c r="G18" s="7"/>
    </row>
    <row r="34" spans="2:8" x14ac:dyDescent="0.2">
      <c r="B34" s="132" t="s">
        <v>114</v>
      </c>
      <c r="C34" s="132"/>
      <c r="D34" s="132"/>
      <c r="E34" s="132"/>
      <c r="F34" s="132"/>
    </row>
    <row r="35" spans="2:8" ht="11.25" customHeight="1" x14ac:dyDescent="0.2">
      <c r="B35" s="133"/>
      <c r="C35" s="133"/>
      <c r="D35" s="133"/>
      <c r="E35" s="133"/>
      <c r="F35" s="133"/>
      <c r="G35" s="102"/>
      <c r="H35" s="102"/>
    </row>
    <row r="36" spans="2:8" ht="11.25" customHeight="1" x14ac:dyDescent="0.2">
      <c r="B36" s="133"/>
      <c r="C36" s="133"/>
      <c r="D36" s="133"/>
      <c r="E36" s="133"/>
      <c r="F36" s="133"/>
    </row>
  </sheetData>
  <mergeCells count="3">
    <mergeCell ref="A1:G1"/>
    <mergeCell ref="A15:G16"/>
    <mergeCell ref="B34:F36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MK17"/>
  <sheetViews>
    <sheetView zoomScale="115" zoomScaleNormal="115" workbookViewId="0">
      <selection activeCell="G20" sqref="G20"/>
    </sheetView>
  </sheetViews>
  <sheetFormatPr baseColWidth="10" defaultColWidth="9.109375" defaultRowHeight="15" x14ac:dyDescent="0.2"/>
  <cols>
    <col min="1" max="1" width="22.21875" style="2" customWidth="1"/>
    <col min="2" max="11" width="5.88671875" style="2" customWidth="1"/>
    <col min="12" max="12" width="5.88671875" style="21" customWidth="1"/>
    <col min="13" max="1025" width="9.109375" style="2"/>
  </cols>
  <sheetData>
    <row r="1" spans="1:13" x14ac:dyDescent="0.2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2.5" x14ac:dyDescent="0.2">
      <c r="B2" s="115">
        <v>2011</v>
      </c>
      <c r="C2" s="115">
        <v>2012</v>
      </c>
      <c r="D2" s="115">
        <v>2013</v>
      </c>
      <c r="E2" s="115">
        <v>2014</v>
      </c>
      <c r="F2" s="115">
        <v>2015</v>
      </c>
      <c r="G2" s="115">
        <v>2016</v>
      </c>
      <c r="H2" s="115">
        <v>2017</v>
      </c>
      <c r="I2" s="115">
        <v>2018</v>
      </c>
      <c r="J2" s="115">
        <v>2019</v>
      </c>
      <c r="K2" s="115">
        <v>2020</v>
      </c>
      <c r="L2" s="115">
        <v>2021</v>
      </c>
      <c r="M2" s="116" t="s">
        <v>115</v>
      </c>
    </row>
    <row r="3" spans="1:13" x14ac:dyDescent="0.2">
      <c r="A3" s="106" t="s">
        <v>33</v>
      </c>
      <c r="B3" s="39">
        <v>2108</v>
      </c>
      <c r="C3" s="39">
        <v>1052</v>
      </c>
      <c r="D3" s="39">
        <v>989</v>
      </c>
      <c r="E3" s="40">
        <v>896</v>
      </c>
      <c r="F3" s="40">
        <v>1636</v>
      </c>
      <c r="G3" s="40">
        <v>2091</v>
      </c>
      <c r="H3" s="40">
        <v>1791</v>
      </c>
      <c r="I3" s="40">
        <f>+I4+I6</f>
        <v>3075</v>
      </c>
      <c r="J3" s="40">
        <f>+J4+J6</f>
        <v>3497</v>
      </c>
      <c r="K3" s="40">
        <f>+K4+K6</f>
        <v>3249</v>
      </c>
      <c r="L3" s="40">
        <f>+L4+L6</f>
        <v>3682</v>
      </c>
      <c r="M3" s="41">
        <f>+L3/K3-1</f>
        <v>0.13327177593105577</v>
      </c>
    </row>
    <row r="4" spans="1:13" x14ac:dyDescent="0.2">
      <c r="A4" s="107" t="s">
        <v>34</v>
      </c>
      <c r="B4" s="43">
        <v>528</v>
      </c>
      <c r="C4" s="43">
        <v>118</v>
      </c>
      <c r="D4" s="43">
        <v>0</v>
      </c>
      <c r="E4" s="36">
        <v>0</v>
      </c>
      <c r="F4" s="36">
        <v>0</v>
      </c>
      <c r="G4" s="36">
        <v>114</v>
      </c>
      <c r="H4" s="36">
        <v>0</v>
      </c>
      <c r="I4" s="36">
        <v>2</v>
      </c>
      <c r="J4" s="36">
        <v>385</v>
      </c>
      <c r="K4" s="36">
        <v>273</v>
      </c>
      <c r="L4" s="36">
        <v>259</v>
      </c>
      <c r="M4" s="23">
        <f>+L4/K4-1</f>
        <v>-5.1282051282051322E-2</v>
      </c>
    </row>
    <row r="5" spans="1:13" x14ac:dyDescent="0.2">
      <c r="A5" s="107" t="s">
        <v>35</v>
      </c>
      <c r="B5" s="44">
        <v>0.25047438330170801</v>
      </c>
      <c r="C5" s="44">
        <v>0.112167300380228</v>
      </c>
      <c r="D5" s="44">
        <v>0</v>
      </c>
      <c r="E5" s="44">
        <v>0</v>
      </c>
      <c r="F5" s="44">
        <v>0</v>
      </c>
      <c r="G5" s="44">
        <v>5.4519368723099003E-2</v>
      </c>
      <c r="H5" s="23">
        <v>0</v>
      </c>
      <c r="I5" s="23">
        <f>+I4/I3</f>
        <v>6.5040650406504065E-4</v>
      </c>
      <c r="J5" s="23">
        <f>+J4/J3</f>
        <v>0.1100943665999428</v>
      </c>
      <c r="K5" s="23">
        <f>+K4/K3</f>
        <v>8.4025854108956605E-2</v>
      </c>
      <c r="L5" s="23">
        <f>+L4/L3</f>
        <v>7.0342205323193921E-2</v>
      </c>
      <c r="M5" s="23" t="s">
        <v>112</v>
      </c>
    </row>
    <row r="6" spans="1:13" x14ac:dyDescent="0.2">
      <c r="A6" s="107" t="s">
        <v>36</v>
      </c>
      <c r="B6" s="43">
        <v>1580</v>
      </c>
      <c r="C6" s="43">
        <v>934</v>
      </c>
      <c r="D6" s="43">
        <v>989</v>
      </c>
      <c r="E6" s="36">
        <v>896</v>
      </c>
      <c r="F6" s="36">
        <v>1636</v>
      </c>
      <c r="G6" s="36">
        <v>1977</v>
      </c>
      <c r="H6" s="36">
        <v>1791</v>
      </c>
      <c r="I6" s="36">
        <v>3073</v>
      </c>
      <c r="J6" s="36">
        <v>3112</v>
      </c>
      <c r="K6" s="36">
        <v>2976</v>
      </c>
      <c r="L6" s="36">
        <v>3423</v>
      </c>
      <c r="M6" s="23">
        <f>+L6/K6-1</f>
        <v>0.15020161290322576</v>
      </c>
    </row>
    <row r="7" spans="1:13" x14ac:dyDescent="0.2">
      <c r="A7" s="107" t="s">
        <v>37</v>
      </c>
      <c r="B7" s="44">
        <v>0.74952561669829199</v>
      </c>
      <c r="C7" s="44">
        <v>0.88783269961977196</v>
      </c>
      <c r="D7" s="44">
        <v>1</v>
      </c>
      <c r="E7" s="44">
        <v>1</v>
      </c>
      <c r="F7" s="44">
        <v>1</v>
      </c>
      <c r="G7" s="44">
        <v>0.94548063127690096</v>
      </c>
      <c r="H7" s="23">
        <v>1</v>
      </c>
      <c r="I7" s="23">
        <f>+I6/I3</f>
        <v>0.999349593495935</v>
      </c>
      <c r="J7" s="23">
        <f>+J6/J3</f>
        <v>0.88990563340005724</v>
      </c>
      <c r="K7" s="23">
        <f>+K6/K3</f>
        <v>0.91597414589104342</v>
      </c>
      <c r="L7" s="23">
        <f>+L6/L3</f>
        <v>0.92965779467680609</v>
      </c>
      <c r="M7" s="23" t="s">
        <v>112</v>
      </c>
    </row>
    <row r="8" spans="1:13" x14ac:dyDescent="0.2">
      <c r="A8" s="107" t="s">
        <v>38</v>
      </c>
      <c r="B8" s="45">
        <v>-0.27385463313813302</v>
      </c>
      <c r="C8" s="45">
        <v>-0.50094876660341603</v>
      </c>
      <c r="D8" s="45">
        <v>-5.9885931558935401E-2</v>
      </c>
      <c r="E8" s="45">
        <v>-9.4034378159757404E-2</v>
      </c>
      <c r="F8" s="45">
        <v>0.82589285714285698</v>
      </c>
      <c r="G8" s="45">
        <v>0.27811735941320298</v>
      </c>
      <c r="H8" s="46">
        <v>-9.40819423368741E-2</v>
      </c>
      <c r="I8" s="47">
        <f>+I3/H3-1</f>
        <v>0.71691792294807377</v>
      </c>
      <c r="J8" s="47">
        <f>+J3/I3-1</f>
        <v>0.13723577235772355</v>
      </c>
      <c r="K8" s="47">
        <f>+K3/J3-1</f>
        <v>-7.0917929653989131E-2</v>
      </c>
      <c r="L8" s="47">
        <f>+L3/K3-1</f>
        <v>0.13327177593105577</v>
      </c>
      <c r="M8" s="48" t="s">
        <v>112</v>
      </c>
    </row>
    <row r="9" spans="1:13" x14ac:dyDescent="0.2">
      <c r="A9" s="106" t="s">
        <v>39</v>
      </c>
      <c r="B9" s="39">
        <v>3652</v>
      </c>
      <c r="C9" s="39">
        <v>2628</v>
      </c>
      <c r="D9" s="39">
        <v>1394</v>
      </c>
      <c r="E9" s="40">
        <v>1218</v>
      </c>
      <c r="F9" s="40">
        <v>1426</v>
      </c>
      <c r="G9" s="40">
        <v>1023</v>
      </c>
      <c r="H9" s="40">
        <v>1743</v>
      </c>
      <c r="I9" s="40">
        <f>+I10+I12</f>
        <v>1699</v>
      </c>
      <c r="J9" s="40">
        <f>+J10+J12</f>
        <v>2162</v>
      </c>
      <c r="K9" s="40">
        <f>+K10+K12</f>
        <v>3152</v>
      </c>
      <c r="L9" s="40">
        <f>+L10+L12</f>
        <v>2864</v>
      </c>
      <c r="M9" s="41">
        <f>+L9/K9-1</f>
        <v>-9.137055837563457E-2</v>
      </c>
    </row>
    <row r="10" spans="1:13" x14ac:dyDescent="0.2">
      <c r="A10" s="107" t="s">
        <v>34</v>
      </c>
      <c r="B10" s="43">
        <v>288</v>
      </c>
      <c r="C10" s="43">
        <v>69</v>
      </c>
      <c r="D10" s="43">
        <v>168</v>
      </c>
      <c r="E10" s="36">
        <v>32</v>
      </c>
      <c r="F10" s="36">
        <v>0</v>
      </c>
      <c r="G10" s="36">
        <v>14</v>
      </c>
      <c r="H10" s="36">
        <v>0</v>
      </c>
      <c r="I10" s="36">
        <v>0</v>
      </c>
      <c r="J10" s="36">
        <v>18</v>
      </c>
      <c r="K10" s="36">
        <v>9</v>
      </c>
      <c r="L10" s="36">
        <v>0</v>
      </c>
      <c r="M10" s="23">
        <f>+L10/K10-1</f>
        <v>-1</v>
      </c>
    </row>
    <row r="11" spans="1:13" x14ac:dyDescent="0.2">
      <c r="A11" s="107" t="s">
        <v>35</v>
      </c>
      <c r="B11" s="44">
        <v>7.8860898138006605E-2</v>
      </c>
      <c r="C11" s="44">
        <v>2.62557077625571E-2</v>
      </c>
      <c r="D11" s="44">
        <v>0.12051649928263999</v>
      </c>
      <c r="E11" s="44">
        <v>2.6272577996715899E-2</v>
      </c>
      <c r="F11" s="44">
        <v>0</v>
      </c>
      <c r="G11" s="44">
        <v>1.3685239491691099E-2</v>
      </c>
      <c r="H11" s="44">
        <v>0</v>
      </c>
      <c r="I11" s="44">
        <v>0</v>
      </c>
      <c r="J11" s="44">
        <f>+J10/J9</f>
        <v>8.3256244218316375E-3</v>
      </c>
      <c r="K11" s="44">
        <f>+K10/K9</f>
        <v>2.8553299492385786E-3</v>
      </c>
      <c r="L11" s="44">
        <f>+L10/L9</f>
        <v>0</v>
      </c>
      <c r="M11" s="23" t="s">
        <v>112</v>
      </c>
    </row>
    <row r="12" spans="1:13" x14ac:dyDescent="0.2">
      <c r="A12" s="107" t="s">
        <v>36</v>
      </c>
      <c r="B12" s="43">
        <v>3364</v>
      </c>
      <c r="C12" s="43">
        <v>2559</v>
      </c>
      <c r="D12" s="43">
        <v>1226</v>
      </c>
      <c r="E12" s="36">
        <v>1186</v>
      </c>
      <c r="F12" s="36">
        <v>1426</v>
      </c>
      <c r="G12" s="36">
        <v>1009</v>
      </c>
      <c r="H12" s="36">
        <v>1743</v>
      </c>
      <c r="I12" s="36">
        <v>1699</v>
      </c>
      <c r="J12" s="36">
        <v>2144</v>
      </c>
      <c r="K12" s="36">
        <v>3143</v>
      </c>
      <c r="L12" s="36">
        <v>2864</v>
      </c>
      <c r="M12" s="23">
        <f>+L12/K12-1</f>
        <v>-8.8768692332166665E-2</v>
      </c>
    </row>
    <row r="13" spans="1:13" x14ac:dyDescent="0.2">
      <c r="A13" s="107" t="s">
        <v>37</v>
      </c>
      <c r="B13" s="44">
        <v>0.92113910186199299</v>
      </c>
      <c r="C13" s="44">
        <v>0.97374429223744297</v>
      </c>
      <c r="D13" s="44">
        <v>0.87948350071736003</v>
      </c>
      <c r="E13" s="44">
        <v>0.97372742200328399</v>
      </c>
      <c r="F13" s="44">
        <v>1</v>
      </c>
      <c r="G13" s="44">
        <v>0.98631476050830902</v>
      </c>
      <c r="H13" s="44">
        <v>1</v>
      </c>
      <c r="I13" s="44">
        <f>+I12/I9</f>
        <v>1</v>
      </c>
      <c r="J13" s="44">
        <f>+J12/J9</f>
        <v>0.9916743755781684</v>
      </c>
      <c r="K13" s="44">
        <f>+K12/K9</f>
        <v>0.99714467005076146</v>
      </c>
      <c r="L13" s="44">
        <f>+L12/L9</f>
        <v>1</v>
      </c>
      <c r="M13" s="23" t="s">
        <v>112</v>
      </c>
    </row>
    <row r="14" spans="1:13" x14ac:dyDescent="0.2">
      <c r="A14" s="107" t="s">
        <v>38</v>
      </c>
      <c r="B14" s="45">
        <v>-0.34340165408126599</v>
      </c>
      <c r="C14" s="45">
        <v>-0.28039430449069003</v>
      </c>
      <c r="D14" s="45">
        <v>-0.469558599695586</v>
      </c>
      <c r="E14" s="45">
        <v>-0.12625538020086099</v>
      </c>
      <c r="F14" s="45">
        <v>0.17077175697865399</v>
      </c>
      <c r="G14" s="45">
        <v>-0.282608695652174</v>
      </c>
      <c r="H14" s="45">
        <v>0.70381231671554301</v>
      </c>
      <c r="I14" s="45">
        <f>+I9/H9-1</f>
        <v>-2.5243832472748085E-2</v>
      </c>
      <c r="J14" s="45">
        <f>+J9/I9-1</f>
        <v>0.27251324308416724</v>
      </c>
      <c r="K14" s="45">
        <f>+K9/J9-1</f>
        <v>0.45790934320073995</v>
      </c>
      <c r="L14" s="45">
        <f>+L9/K9-1</f>
        <v>-9.137055837563457E-2</v>
      </c>
      <c r="M14" s="23" t="s">
        <v>112</v>
      </c>
    </row>
    <row r="15" spans="1:13" x14ac:dyDescent="0.2">
      <c r="A15" s="106" t="s">
        <v>116</v>
      </c>
      <c r="B15" s="49">
        <v>0.57721796276013104</v>
      </c>
      <c r="C15" s="49">
        <v>0.40030441400304401</v>
      </c>
      <c r="D15" s="49">
        <v>0.70946915351506501</v>
      </c>
      <c r="E15" s="50">
        <v>0.73563218390804597</v>
      </c>
      <c r="F15" s="50">
        <v>1.14726507713885</v>
      </c>
      <c r="G15" s="50">
        <v>2.04398826979472</v>
      </c>
      <c r="H15" s="50">
        <v>1.02753872633391</v>
      </c>
      <c r="I15" s="50">
        <f>+I3/I9</f>
        <v>1.8098881695114772</v>
      </c>
      <c r="J15" s="50">
        <f>+J3/J9</f>
        <v>1.6174838112858465</v>
      </c>
      <c r="K15" s="50">
        <f>+K3/K9</f>
        <v>1.030774111675127</v>
      </c>
      <c r="L15" s="50">
        <f>+L3/L9</f>
        <v>1.2856145251396649</v>
      </c>
      <c r="M15" s="41">
        <f>+K15/J15-1</f>
        <v>-0.36272987433753945</v>
      </c>
    </row>
    <row r="16" spans="1:13" x14ac:dyDescent="0.2">
      <c r="A16" s="130" t="s">
        <v>40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4:4" x14ac:dyDescent="0.2">
      <c r="D17" s="92" t="s">
        <v>89</v>
      </c>
    </row>
  </sheetData>
  <mergeCells count="2">
    <mergeCell ref="A1:M1"/>
    <mergeCell ref="A16:M16"/>
  </mergeCells>
  <hyperlinks>
    <hyperlink ref="D17" r:id="rId1" display="https://apps.fomento.gob.es/BoletinOnline2/?nivel=2&amp;orden=31000000" xr:uid="{BF033E3A-0F1D-4DB6-9879-E24CF5BF6C45}"/>
  </hyperlink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MJ36"/>
  <sheetViews>
    <sheetView zoomScaleNormal="100" workbookViewId="0">
      <selection activeCell="H9" sqref="H9"/>
    </sheetView>
  </sheetViews>
  <sheetFormatPr baseColWidth="10" defaultColWidth="9.5546875" defaultRowHeight="15" x14ac:dyDescent="0.2"/>
  <cols>
    <col min="1" max="1" width="10.5546875" style="2" customWidth="1"/>
    <col min="2" max="8" width="6.88671875" style="2" customWidth="1"/>
    <col min="9" max="9" width="10.5546875" style="2" customWidth="1"/>
    <col min="10" max="10" width="7.6640625" style="2" customWidth="1"/>
    <col min="11" max="14" width="6.5546875" style="2" customWidth="1"/>
    <col min="15" max="15" width="6.109375" style="2" customWidth="1"/>
    <col min="16" max="16" width="6.33203125" style="2" customWidth="1"/>
    <col min="17" max="17" width="10.88671875" style="2" customWidth="1"/>
    <col min="18" max="18" width="6.109375" style="2" customWidth="1"/>
    <col min="19" max="19" width="8.88671875" style="2" customWidth="1"/>
    <col min="20" max="1024" width="9.5546875" style="2"/>
  </cols>
  <sheetData>
    <row r="1" spans="1:9" x14ac:dyDescent="0.2">
      <c r="A1" s="2" t="s">
        <v>90</v>
      </c>
    </row>
    <row r="2" spans="1:9" x14ac:dyDescent="0.2">
      <c r="B2" s="51" t="s">
        <v>25</v>
      </c>
      <c r="F2" s="51" t="s">
        <v>25</v>
      </c>
    </row>
    <row r="3" spans="1:9" x14ac:dyDescent="0.2">
      <c r="B3" s="2" t="s">
        <v>41</v>
      </c>
      <c r="C3" s="2" t="s">
        <v>42</v>
      </c>
      <c r="F3" s="2" t="s">
        <v>43</v>
      </c>
      <c r="G3" s="2" t="s">
        <v>44</v>
      </c>
    </row>
    <row r="4" spans="1:9" x14ac:dyDescent="0.2">
      <c r="A4" s="52">
        <v>2006</v>
      </c>
      <c r="B4" s="16">
        <v>12795</v>
      </c>
      <c r="C4" s="16">
        <v>10172</v>
      </c>
      <c r="E4" s="52">
        <v>2006</v>
      </c>
      <c r="F4" s="16">
        <v>578</v>
      </c>
      <c r="G4" s="16">
        <v>405</v>
      </c>
    </row>
    <row r="5" spans="1:9" x14ac:dyDescent="0.2">
      <c r="A5" s="52">
        <v>2007</v>
      </c>
      <c r="B5" s="16">
        <v>13475</v>
      </c>
      <c r="C5" s="16">
        <v>12162</v>
      </c>
      <c r="E5" s="52">
        <v>2007</v>
      </c>
      <c r="F5" s="16">
        <v>417</v>
      </c>
      <c r="G5" s="16">
        <v>385</v>
      </c>
    </row>
    <row r="6" spans="1:9" x14ac:dyDescent="0.2">
      <c r="A6" s="52">
        <v>2008</v>
      </c>
      <c r="B6" s="16">
        <v>5886</v>
      </c>
      <c r="C6" s="16">
        <v>11827</v>
      </c>
      <c r="E6" s="52">
        <v>2008</v>
      </c>
      <c r="F6" s="16">
        <v>154</v>
      </c>
      <c r="G6" s="16">
        <v>239</v>
      </c>
    </row>
    <row r="7" spans="1:9" x14ac:dyDescent="0.2">
      <c r="A7" s="52">
        <v>2009</v>
      </c>
      <c r="B7" s="16">
        <v>2187</v>
      </c>
      <c r="C7" s="16">
        <v>9071</v>
      </c>
      <c r="E7" s="52">
        <v>2009</v>
      </c>
      <c r="F7" s="16">
        <v>498</v>
      </c>
      <c r="G7" s="16">
        <v>339</v>
      </c>
    </row>
    <row r="8" spans="1:9" x14ac:dyDescent="0.2">
      <c r="A8" s="52">
        <v>2010</v>
      </c>
      <c r="B8" s="16">
        <v>1894</v>
      </c>
      <c r="C8" s="16">
        <v>5171</v>
      </c>
      <c r="E8" s="52">
        <v>2010</v>
      </c>
      <c r="F8" s="16">
        <v>1009</v>
      </c>
      <c r="G8" s="16">
        <v>391</v>
      </c>
    </row>
    <row r="9" spans="1:9" x14ac:dyDescent="0.2">
      <c r="A9" s="52">
        <v>2011</v>
      </c>
      <c r="B9" s="16">
        <v>1580</v>
      </c>
      <c r="C9" s="16">
        <v>3364</v>
      </c>
      <c r="E9" s="52">
        <v>2011</v>
      </c>
      <c r="F9" s="16">
        <v>528</v>
      </c>
      <c r="G9" s="16">
        <v>288</v>
      </c>
    </row>
    <row r="10" spans="1:9" x14ac:dyDescent="0.2">
      <c r="A10" s="52">
        <v>2012</v>
      </c>
      <c r="B10" s="16">
        <v>934</v>
      </c>
      <c r="C10" s="16">
        <v>2559</v>
      </c>
      <c r="E10" s="52">
        <v>2012</v>
      </c>
      <c r="F10" s="16">
        <v>118</v>
      </c>
      <c r="G10" s="16">
        <v>69</v>
      </c>
    </row>
    <row r="11" spans="1:9" x14ac:dyDescent="0.2">
      <c r="A11" s="52">
        <v>2013</v>
      </c>
      <c r="B11" s="16">
        <v>989</v>
      </c>
      <c r="C11" s="16">
        <v>1226</v>
      </c>
      <c r="E11" s="52">
        <v>2013</v>
      </c>
      <c r="F11" s="16">
        <v>0</v>
      </c>
      <c r="G11" s="16">
        <v>168</v>
      </c>
    </row>
    <row r="12" spans="1:9" x14ac:dyDescent="0.2">
      <c r="A12" s="52">
        <v>2014</v>
      </c>
      <c r="B12" s="16">
        <v>896</v>
      </c>
      <c r="C12" s="16">
        <v>1186</v>
      </c>
      <c r="E12" s="52">
        <v>2014</v>
      </c>
      <c r="F12" s="16">
        <v>0</v>
      </c>
      <c r="G12" s="16">
        <v>32</v>
      </c>
    </row>
    <row r="13" spans="1:9" x14ac:dyDescent="0.2">
      <c r="A13" s="52">
        <v>2015</v>
      </c>
      <c r="B13" s="16">
        <v>1636</v>
      </c>
      <c r="C13" s="16">
        <v>1426</v>
      </c>
      <c r="E13" s="52">
        <v>2015</v>
      </c>
      <c r="F13" s="16">
        <v>0</v>
      </c>
      <c r="G13" s="16">
        <v>0</v>
      </c>
    </row>
    <row r="14" spans="1:9" x14ac:dyDescent="0.2">
      <c r="A14" s="52">
        <v>2016</v>
      </c>
      <c r="B14" s="16">
        <v>1977</v>
      </c>
      <c r="C14" s="16">
        <v>1009</v>
      </c>
      <c r="E14" s="52">
        <v>2016</v>
      </c>
      <c r="F14" s="16">
        <v>114</v>
      </c>
      <c r="G14" s="16">
        <v>14</v>
      </c>
    </row>
    <row r="15" spans="1:9" x14ac:dyDescent="0.2">
      <c r="A15" s="52">
        <v>2017</v>
      </c>
      <c r="B15" s="16">
        <v>1791</v>
      </c>
      <c r="C15" s="16">
        <v>1842</v>
      </c>
      <c r="E15" s="52">
        <v>2017</v>
      </c>
      <c r="F15" s="16">
        <v>0</v>
      </c>
      <c r="G15" s="16">
        <v>0</v>
      </c>
      <c r="I15" s="54"/>
    </row>
    <row r="16" spans="1:9" x14ac:dyDescent="0.2">
      <c r="A16" s="53">
        <v>2018</v>
      </c>
      <c r="B16" s="16">
        <v>3073</v>
      </c>
      <c r="C16" s="16">
        <v>1699</v>
      </c>
      <c r="E16" s="52">
        <v>2018</v>
      </c>
      <c r="F16" s="2">
        <v>2</v>
      </c>
      <c r="G16" s="2">
        <v>0</v>
      </c>
    </row>
    <row r="17" spans="1:16" x14ac:dyDescent="0.2">
      <c r="A17" s="52">
        <v>2019</v>
      </c>
      <c r="B17" s="2">
        <v>3112</v>
      </c>
      <c r="C17" s="2">
        <v>2144</v>
      </c>
      <c r="E17" s="52">
        <v>2019</v>
      </c>
      <c r="F17" s="2">
        <v>385</v>
      </c>
      <c r="G17" s="2">
        <v>18</v>
      </c>
      <c r="I17" s="99" t="s">
        <v>40</v>
      </c>
      <c r="J17" s="55"/>
      <c r="K17" s="55"/>
      <c r="L17" s="55"/>
      <c r="M17" s="55"/>
      <c r="N17" s="55"/>
      <c r="O17" s="55"/>
      <c r="P17" s="55"/>
    </row>
    <row r="18" spans="1:16" x14ac:dyDescent="0.2">
      <c r="A18" s="53">
        <v>2020</v>
      </c>
      <c r="B18" s="2">
        <v>2976</v>
      </c>
      <c r="C18" s="2">
        <v>3143</v>
      </c>
      <c r="E18" s="52">
        <v>2020</v>
      </c>
      <c r="F18" s="2">
        <v>273</v>
      </c>
      <c r="G18" s="2">
        <v>9</v>
      </c>
    </row>
    <row r="19" spans="1:16" x14ac:dyDescent="0.2">
      <c r="A19" s="53">
        <v>2021</v>
      </c>
      <c r="B19" s="21">
        <v>3423</v>
      </c>
      <c r="C19" s="21">
        <v>2864</v>
      </c>
      <c r="D19" s="21"/>
      <c r="E19" s="52">
        <v>2021</v>
      </c>
      <c r="F19" s="21">
        <v>259</v>
      </c>
      <c r="G19" s="21">
        <v>0</v>
      </c>
    </row>
    <row r="20" spans="1:16" x14ac:dyDescent="0.2">
      <c r="I20" s="4"/>
    </row>
    <row r="21" spans="1:16" x14ac:dyDescent="0.2">
      <c r="B21" s="4"/>
      <c r="C21" s="4"/>
      <c r="D21" s="4"/>
      <c r="E21" s="4"/>
      <c r="F21" s="4"/>
      <c r="G21" s="4"/>
      <c r="H21" s="4"/>
    </row>
    <row r="34" spans="2:9" x14ac:dyDescent="0.2">
      <c r="B34" s="54"/>
      <c r="C34" s="55"/>
      <c r="D34" s="55"/>
      <c r="E34" s="55"/>
      <c r="F34" s="55"/>
      <c r="G34" s="55"/>
      <c r="H34" s="55"/>
      <c r="I34" s="100"/>
    </row>
    <row r="35" spans="2:9" x14ac:dyDescent="0.2">
      <c r="B35" s="100" t="s">
        <v>123</v>
      </c>
      <c r="C35" s="100"/>
      <c r="D35" s="100"/>
      <c r="E35" s="100"/>
      <c r="F35" s="100"/>
      <c r="G35" s="100"/>
      <c r="H35" s="100"/>
      <c r="I35" s="100"/>
    </row>
    <row r="36" spans="2:9" ht="15" customHeight="1" x14ac:dyDescent="0.2">
      <c r="B36" s="100"/>
      <c r="C36" s="100"/>
      <c r="D36" s="100"/>
      <c r="E36" s="100"/>
      <c r="F36" s="100"/>
      <c r="G36" s="100"/>
      <c r="H36" s="100"/>
    </row>
  </sheetData>
  <pageMargins left="0.7" right="0.7" top="0.75" bottom="0.75" header="0.51180555555555496" footer="0.51180555555555496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MK15"/>
  <sheetViews>
    <sheetView zoomScale="110" zoomScaleNormal="110" workbookViewId="0">
      <selection activeCell="A3" sqref="A3:A10"/>
    </sheetView>
  </sheetViews>
  <sheetFormatPr baseColWidth="10" defaultColWidth="9.109375" defaultRowHeight="15" x14ac:dyDescent="0.2"/>
  <cols>
    <col min="1" max="1" width="7.88671875" style="2" customWidth="1"/>
    <col min="2" max="2" width="9.109375" style="2"/>
    <col min="3" max="5" width="7.6640625" style="2" customWidth="1"/>
    <col min="6" max="6" width="7.6640625" style="21" customWidth="1"/>
    <col min="7" max="7" width="13.21875" style="2" customWidth="1"/>
    <col min="8" max="8" width="4.44140625" style="2" customWidth="1"/>
    <col min="9" max="17" width="11.109375" style="2" customWidth="1"/>
    <col min="18" max="1025" width="9.109375" style="2"/>
  </cols>
  <sheetData>
    <row r="1" spans="1:9" x14ac:dyDescent="0.2">
      <c r="A1" s="135" t="s">
        <v>124</v>
      </c>
      <c r="B1" s="135"/>
      <c r="C1" s="135"/>
      <c r="D1" s="135"/>
      <c r="E1" s="135"/>
      <c r="F1" s="135"/>
      <c r="G1" s="135"/>
    </row>
    <row r="2" spans="1:9" x14ac:dyDescent="0.2">
      <c r="A2" s="136"/>
      <c r="B2" s="136"/>
      <c r="C2" s="113">
        <v>2018</v>
      </c>
      <c r="D2" s="113">
        <v>2019</v>
      </c>
      <c r="E2" s="113">
        <v>2020</v>
      </c>
      <c r="F2" s="113">
        <v>2021</v>
      </c>
      <c r="G2" s="117" t="s">
        <v>115</v>
      </c>
    </row>
    <row r="3" spans="1:9" ht="11.25" customHeight="1" x14ac:dyDescent="0.2">
      <c r="A3" s="137" t="s">
        <v>45</v>
      </c>
      <c r="B3" s="101" t="s">
        <v>27</v>
      </c>
      <c r="C3" s="56">
        <v>4311</v>
      </c>
      <c r="D3" s="56">
        <f>352+384+329+386+413+319+459+193+383+387+362+367</f>
        <v>4334</v>
      </c>
      <c r="E3" s="56">
        <f>324+346+398+321+286+326+370+232+342+371+404+372</f>
        <v>4092</v>
      </c>
      <c r="F3" s="56">
        <f>280+368+497+363+404+347+435+224+349+346+374+472</f>
        <v>4459</v>
      </c>
      <c r="G3" s="35">
        <f>+F3/E3-1</f>
        <v>8.9687194525904124E-2</v>
      </c>
      <c r="H3" s="7"/>
    </row>
    <row r="4" spans="1:9" x14ac:dyDescent="0.2">
      <c r="A4" s="137"/>
      <c r="B4" s="101" t="s">
        <v>14</v>
      </c>
      <c r="C4" s="56">
        <v>645</v>
      </c>
      <c r="D4" s="56">
        <f>63+55+48+52+75+52+78+35+49+64+44+63</f>
        <v>678</v>
      </c>
      <c r="E4" s="56">
        <f>59+57+44+42+41+43+63+30+43+51+66+56</f>
        <v>595</v>
      </c>
      <c r="F4" s="56">
        <f>45+54+72+47+72+51+56+26+67+50+57+82</f>
        <v>679</v>
      </c>
      <c r="G4" s="35">
        <f t="shared" ref="G4:G5" si="0">+F4/E4-1</f>
        <v>0.14117647058823524</v>
      </c>
      <c r="H4" s="7"/>
    </row>
    <row r="5" spans="1:9" x14ac:dyDescent="0.2">
      <c r="A5" s="137"/>
      <c r="B5" s="101" t="s">
        <v>15</v>
      </c>
      <c r="C5" s="56">
        <v>569</v>
      </c>
      <c r="D5" s="56">
        <f>42+52+57+37+54+48+59+19+41+47+42+34</f>
        <v>532</v>
      </c>
      <c r="E5" s="56">
        <f>47+48+45+35+26+48+40+37+47+58+49+56</f>
        <v>536</v>
      </c>
      <c r="F5" s="56">
        <f>39+39+52+49+41+44+56+40+49+346+49+53</f>
        <v>857</v>
      </c>
      <c r="G5" s="35">
        <f t="shared" si="0"/>
        <v>0.59888059701492535</v>
      </c>
      <c r="H5" s="7"/>
    </row>
    <row r="6" spans="1:9" x14ac:dyDescent="0.2">
      <c r="A6" s="137"/>
      <c r="B6" s="38" t="s">
        <v>25</v>
      </c>
      <c r="C6" s="57">
        <f>SUM(C3:C5)</f>
        <v>5525</v>
      </c>
      <c r="D6" s="57">
        <f>SUM(D3:D5)</f>
        <v>5544</v>
      </c>
      <c r="E6" s="57">
        <f>SUM(E3:E5)</f>
        <v>5223</v>
      </c>
      <c r="F6" s="57">
        <f>SUM(F3:F5)</f>
        <v>5995</v>
      </c>
      <c r="G6" s="58">
        <f>+F6/E6-1</f>
        <v>0.14780777331035799</v>
      </c>
    </row>
    <row r="7" spans="1:9" ht="11.25" customHeight="1" x14ac:dyDescent="0.2">
      <c r="A7" s="137" t="s">
        <v>46</v>
      </c>
      <c r="B7" s="101" t="s">
        <v>27</v>
      </c>
      <c r="C7" s="56">
        <v>2656</v>
      </c>
      <c r="D7" s="56">
        <f>160+226+133+165+271+229+422+284+290+217+373+150</f>
        <v>2920</v>
      </c>
      <c r="E7" s="56">
        <f>213+258+243+162+155+395+365+94+147+211+173+362</f>
        <v>2778</v>
      </c>
      <c r="F7" s="56">
        <f>335+246+293+208+192+184+169+80+190+299+378+160</f>
        <v>2734</v>
      </c>
      <c r="G7" s="35">
        <f>+F7/E7-1</f>
        <v>-1.5838732901367836E-2</v>
      </c>
      <c r="H7" s="7"/>
    </row>
    <row r="8" spans="1:9" x14ac:dyDescent="0.2">
      <c r="A8" s="137"/>
      <c r="B8" s="101" t="s">
        <v>14</v>
      </c>
      <c r="C8" s="56">
        <v>161</v>
      </c>
      <c r="D8" s="56">
        <f>19+12+12+15+55+19+13+8+16+8+65+19</f>
        <v>261</v>
      </c>
      <c r="E8" s="56">
        <f>23+9+18+11+4+15+11+6+11+2+7+8</f>
        <v>125</v>
      </c>
      <c r="F8" s="56">
        <f>14+8+16+27+17+15+14+9+41+8+17+14</f>
        <v>200</v>
      </c>
      <c r="G8" s="35">
        <f t="shared" ref="G8:G9" si="1">+F8/E8-1</f>
        <v>0.60000000000000009</v>
      </c>
      <c r="H8" s="7"/>
    </row>
    <row r="9" spans="1:9" x14ac:dyDescent="0.2">
      <c r="A9" s="137"/>
      <c r="B9" s="101" t="s">
        <v>15</v>
      </c>
      <c r="C9" s="56">
        <v>588</v>
      </c>
      <c r="D9" s="56">
        <f>25+29+20+11+152+10+58+14+63+27+126+115</f>
        <v>650</v>
      </c>
      <c r="E9" s="56">
        <f>14+70+27+9+8+40+211+10+105+66+40+81</f>
        <v>681</v>
      </c>
      <c r="F9" s="56">
        <f>43+8+71+154+22+24+59+24+35+299+51+23</f>
        <v>813</v>
      </c>
      <c r="G9" s="35">
        <f t="shared" si="1"/>
        <v>0.19383259911894268</v>
      </c>
      <c r="H9" s="7"/>
    </row>
    <row r="10" spans="1:9" x14ac:dyDescent="0.2">
      <c r="A10" s="137"/>
      <c r="B10" s="38" t="s">
        <v>25</v>
      </c>
      <c r="C10" s="57">
        <f>SUM(C7:C9)</f>
        <v>3405</v>
      </c>
      <c r="D10" s="57">
        <f>SUM(D7:D9)</f>
        <v>3831</v>
      </c>
      <c r="E10" s="57">
        <f>SUM(E7:E9)</f>
        <v>3584</v>
      </c>
      <c r="F10" s="57">
        <f>SUM(F7:F9)</f>
        <v>3747</v>
      </c>
      <c r="G10" s="58">
        <f>+F10/E10-1</f>
        <v>4.5479910714285809E-2</v>
      </c>
      <c r="H10" s="59"/>
    </row>
    <row r="11" spans="1:9" x14ac:dyDescent="0.2">
      <c r="A11" s="130" t="s">
        <v>101</v>
      </c>
      <c r="B11" s="130"/>
      <c r="C11" s="130"/>
      <c r="D11" s="130"/>
      <c r="E11" s="130"/>
      <c r="F11" s="130"/>
      <c r="G11" s="130"/>
      <c r="I11" s="59"/>
    </row>
    <row r="12" spans="1:9" x14ac:dyDescent="0.2">
      <c r="A12" s="134" t="s">
        <v>122</v>
      </c>
      <c r="B12" s="134"/>
      <c r="C12" s="134"/>
      <c r="D12" s="134"/>
      <c r="E12" s="134"/>
      <c r="F12" s="134"/>
      <c r="G12" s="134"/>
    </row>
    <row r="13" spans="1:9" x14ac:dyDescent="0.2">
      <c r="A13" s="134"/>
      <c r="B13" s="134"/>
      <c r="C13" s="134"/>
      <c r="D13" s="134"/>
      <c r="E13" s="134"/>
      <c r="F13" s="134"/>
      <c r="G13" s="134"/>
    </row>
    <row r="15" spans="1:9" x14ac:dyDescent="0.2">
      <c r="D15" s="59"/>
    </row>
  </sheetData>
  <mergeCells count="6">
    <mergeCell ref="A12:G13"/>
    <mergeCell ref="A1:G1"/>
    <mergeCell ref="A2:B2"/>
    <mergeCell ref="A3:A6"/>
    <mergeCell ref="A7:A10"/>
    <mergeCell ref="A11:G11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MJ57"/>
  <sheetViews>
    <sheetView zoomScale="140" zoomScaleNormal="140" workbookViewId="0">
      <selection activeCell="F16" sqref="F16"/>
    </sheetView>
  </sheetViews>
  <sheetFormatPr baseColWidth="10" defaultColWidth="11.5546875" defaultRowHeight="15" x14ac:dyDescent="0.2"/>
  <cols>
    <col min="1" max="1" width="8.33203125" style="60" customWidth="1"/>
    <col min="2" max="2" width="9.33203125" style="60" customWidth="1"/>
    <col min="3" max="5" width="7.109375" style="60" customWidth="1"/>
    <col min="6" max="6" width="11.88671875" style="60" customWidth="1"/>
    <col min="7" max="10" width="7.109375" style="60" customWidth="1"/>
    <col min="11" max="1024" width="11.5546875" style="60"/>
  </cols>
  <sheetData>
    <row r="1" spans="1:8" x14ac:dyDescent="0.2">
      <c r="A1" s="135" t="s">
        <v>48</v>
      </c>
      <c r="B1" s="135"/>
      <c r="C1" s="135"/>
      <c r="D1" s="135"/>
      <c r="E1" s="135"/>
      <c r="F1" s="135"/>
    </row>
    <row r="2" spans="1:8" x14ac:dyDescent="0.2">
      <c r="A2" s="138"/>
      <c r="B2" s="138"/>
      <c r="C2" s="10">
        <v>2017</v>
      </c>
      <c r="D2" s="10">
        <v>2018</v>
      </c>
      <c r="E2" s="10">
        <v>2019</v>
      </c>
      <c r="F2" s="10" t="s">
        <v>49</v>
      </c>
      <c r="H2" s="60" t="s">
        <v>50</v>
      </c>
    </row>
    <row r="3" spans="1:8" x14ac:dyDescent="0.2">
      <c r="A3" s="139" t="s">
        <v>27</v>
      </c>
      <c r="B3" s="13" t="s">
        <v>51</v>
      </c>
      <c r="C3" s="61">
        <v>4076</v>
      </c>
      <c r="D3" s="61">
        <v>4311</v>
      </c>
      <c r="E3" s="61"/>
      <c r="F3" s="62">
        <f t="shared" ref="F3:F10" si="0">(D3/C3-1)*100</f>
        <v>5.7654563297350414</v>
      </c>
    </row>
    <row r="4" spans="1:8" x14ac:dyDescent="0.2">
      <c r="A4" s="139"/>
      <c r="B4" s="13" t="s">
        <v>52</v>
      </c>
      <c r="C4" s="61">
        <v>1921</v>
      </c>
      <c r="D4" s="61">
        <v>2656</v>
      </c>
      <c r="E4" s="61"/>
      <c r="F4" s="62">
        <f t="shared" si="0"/>
        <v>38.261322228006243</v>
      </c>
    </row>
    <row r="5" spans="1:8" x14ac:dyDescent="0.2">
      <c r="A5" s="139" t="s">
        <v>14</v>
      </c>
      <c r="B5" s="13" t="s">
        <v>51</v>
      </c>
      <c r="C5" s="61">
        <v>626</v>
      </c>
      <c r="D5" s="61">
        <v>645</v>
      </c>
      <c r="E5" s="61"/>
      <c r="F5" s="62">
        <f t="shared" si="0"/>
        <v>3.0351437699680517</v>
      </c>
    </row>
    <row r="6" spans="1:8" x14ac:dyDescent="0.2">
      <c r="A6" s="139"/>
      <c r="B6" s="13" t="s">
        <v>52</v>
      </c>
      <c r="C6" s="61">
        <v>151</v>
      </c>
      <c r="D6" s="61">
        <v>161</v>
      </c>
      <c r="E6" s="61"/>
      <c r="F6" s="62">
        <f t="shared" si="0"/>
        <v>6.6225165562913801</v>
      </c>
    </row>
    <row r="7" spans="1:8" x14ac:dyDescent="0.2">
      <c r="A7" s="139" t="s">
        <v>15</v>
      </c>
      <c r="B7" s="13" t="s">
        <v>51</v>
      </c>
      <c r="C7" s="61">
        <v>625</v>
      </c>
      <c r="D7" s="61">
        <v>569</v>
      </c>
      <c r="E7" s="61"/>
      <c r="F7" s="62">
        <f t="shared" si="0"/>
        <v>-8.9600000000000009</v>
      </c>
    </row>
    <row r="8" spans="1:8" x14ac:dyDescent="0.2">
      <c r="A8" s="139"/>
      <c r="B8" s="13" t="s">
        <v>52</v>
      </c>
      <c r="C8" s="61">
        <v>481</v>
      </c>
      <c r="D8" s="61">
        <v>588</v>
      </c>
      <c r="E8" s="61"/>
      <c r="F8" s="62">
        <f t="shared" si="0"/>
        <v>22.245322245322253</v>
      </c>
    </row>
    <row r="9" spans="1:8" x14ac:dyDescent="0.2">
      <c r="A9" s="140" t="s">
        <v>25</v>
      </c>
      <c r="B9" s="11" t="s">
        <v>51</v>
      </c>
      <c r="C9" s="63">
        <v>5327</v>
      </c>
      <c r="D9" s="63">
        <v>5525</v>
      </c>
      <c r="E9" s="63"/>
      <c r="F9" s="64">
        <f t="shared" si="0"/>
        <v>3.7169138351792697</v>
      </c>
    </row>
    <row r="10" spans="1:8" x14ac:dyDescent="0.2">
      <c r="A10" s="140"/>
      <c r="B10" s="11" t="s">
        <v>52</v>
      </c>
      <c r="C10" s="63">
        <v>2553</v>
      </c>
      <c r="D10" s="63">
        <v>3405</v>
      </c>
      <c r="E10" s="63"/>
      <c r="F10" s="64">
        <f t="shared" si="0"/>
        <v>33.372502937720341</v>
      </c>
    </row>
    <row r="11" spans="1:8" x14ac:dyDescent="0.2">
      <c r="A11" s="141" t="s">
        <v>47</v>
      </c>
      <c r="B11" s="141"/>
      <c r="C11" s="141"/>
      <c r="D11" s="141"/>
      <c r="E11" s="141"/>
      <c r="F11" s="141"/>
    </row>
    <row r="13" spans="1:8" x14ac:dyDescent="0.2">
      <c r="A13" s="65"/>
    </row>
    <row r="28" spans="1:10" x14ac:dyDescent="0.2">
      <c r="A28" s="142" t="s">
        <v>53</v>
      </c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143"/>
      <c r="B29" s="144" t="s">
        <v>27</v>
      </c>
      <c r="C29" s="144"/>
      <c r="D29" s="144" t="s">
        <v>14</v>
      </c>
      <c r="E29" s="144"/>
      <c r="F29" s="144"/>
      <c r="G29" s="144" t="s">
        <v>15</v>
      </c>
      <c r="H29" s="144"/>
      <c r="I29" s="144" t="s">
        <v>30</v>
      </c>
      <c r="J29" s="144"/>
    </row>
    <row r="30" spans="1:10" x14ac:dyDescent="0.2">
      <c r="A30" s="143"/>
      <c r="B30" s="67" t="s">
        <v>51</v>
      </c>
      <c r="C30" s="67" t="s">
        <v>52</v>
      </c>
      <c r="D30" s="67" t="s">
        <v>51</v>
      </c>
      <c r="E30" s="67"/>
      <c r="F30" s="67" t="s">
        <v>52</v>
      </c>
      <c r="G30" s="67" t="s">
        <v>51</v>
      </c>
      <c r="H30" s="67" t="s">
        <v>52</v>
      </c>
      <c r="I30" s="67" t="s">
        <v>51</v>
      </c>
      <c r="J30" s="67" t="s">
        <v>52</v>
      </c>
    </row>
    <row r="31" spans="1:10" x14ac:dyDescent="0.2">
      <c r="A31" s="68" t="s">
        <v>54</v>
      </c>
      <c r="B31" s="69">
        <v>4076</v>
      </c>
      <c r="C31" s="69">
        <v>1921</v>
      </c>
      <c r="D31" s="69">
        <v>626</v>
      </c>
      <c r="E31" s="69"/>
      <c r="F31" s="69">
        <v>151</v>
      </c>
      <c r="G31" s="69">
        <v>625</v>
      </c>
      <c r="H31" s="69">
        <v>481</v>
      </c>
      <c r="I31" s="69">
        <v>5327</v>
      </c>
      <c r="J31" s="69">
        <v>2553</v>
      </c>
    </row>
    <row r="32" spans="1:10" x14ac:dyDescent="0.2">
      <c r="A32" s="66" t="s">
        <v>55</v>
      </c>
      <c r="B32" s="70">
        <v>247</v>
      </c>
      <c r="C32" s="70">
        <v>99</v>
      </c>
      <c r="D32" s="70">
        <v>35</v>
      </c>
      <c r="E32" s="70"/>
      <c r="F32" s="70">
        <v>7</v>
      </c>
      <c r="G32" s="70">
        <v>41</v>
      </c>
      <c r="H32" s="70">
        <v>57</v>
      </c>
      <c r="I32" s="70">
        <f t="shared" ref="I32:I43" si="1">+B32+D32+G32</f>
        <v>323</v>
      </c>
      <c r="J32" s="70">
        <f t="shared" ref="J32:J43" si="2">+C32+F32+H32</f>
        <v>163</v>
      </c>
    </row>
    <row r="33" spans="1:10" x14ac:dyDescent="0.2">
      <c r="A33" s="66" t="s">
        <v>56</v>
      </c>
      <c r="B33" s="70">
        <v>317</v>
      </c>
      <c r="C33" s="70">
        <v>102</v>
      </c>
      <c r="D33" s="70">
        <v>52</v>
      </c>
      <c r="E33" s="70"/>
      <c r="F33" s="70">
        <v>5</v>
      </c>
      <c r="G33" s="70">
        <v>41</v>
      </c>
      <c r="H33" s="70">
        <v>10</v>
      </c>
      <c r="I33" s="70">
        <f t="shared" si="1"/>
        <v>410</v>
      </c>
      <c r="J33" s="70">
        <f t="shared" si="2"/>
        <v>117</v>
      </c>
    </row>
    <row r="34" spans="1:10" x14ac:dyDescent="0.2">
      <c r="A34" s="66" t="s">
        <v>57</v>
      </c>
      <c r="B34" s="70">
        <v>330</v>
      </c>
      <c r="C34" s="70">
        <v>112</v>
      </c>
      <c r="D34" s="70">
        <v>74</v>
      </c>
      <c r="E34" s="70"/>
      <c r="F34" s="70">
        <v>12</v>
      </c>
      <c r="G34" s="70">
        <v>93</v>
      </c>
      <c r="H34" s="70">
        <v>30</v>
      </c>
      <c r="I34" s="70">
        <f t="shared" si="1"/>
        <v>497</v>
      </c>
      <c r="J34" s="70">
        <f t="shared" si="2"/>
        <v>154</v>
      </c>
    </row>
    <row r="35" spans="1:10" x14ac:dyDescent="0.2">
      <c r="A35" s="66" t="s">
        <v>58</v>
      </c>
      <c r="B35" s="70">
        <v>294</v>
      </c>
      <c r="C35" s="70">
        <v>169</v>
      </c>
      <c r="D35" s="70">
        <v>38</v>
      </c>
      <c r="E35" s="70"/>
      <c r="F35" s="70">
        <v>9</v>
      </c>
      <c r="G35" s="70">
        <v>49</v>
      </c>
      <c r="H35" s="70">
        <v>30</v>
      </c>
      <c r="I35" s="70">
        <f t="shared" si="1"/>
        <v>381</v>
      </c>
      <c r="J35" s="70">
        <f t="shared" si="2"/>
        <v>208</v>
      </c>
    </row>
    <row r="36" spans="1:10" x14ac:dyDescent="0.2">
      <c r="A36" s="66" t="s">
        <v>59</v>
      </c>
      <c r="B36" s="70">
        <v>376</v>
      </c>
      <c r="C36" s="70">
        <v>142</v>
      </c>
      <c r="D36" s="70">
        <v>47</v>
      </c>
      <c r="E36" s="70"/>
      <c r="F36" s="70">
        <v>11</v>
      </c>
      <c r="G36" s="70">
        <v>62</v>
      </c>
      <c r="H36" s="70">
        <v>13</v>
      </c>
      <c r="I36" s="70">
        <f t="shared" si="1"/>
        <v>485</v>
      </c>
      <c r="J36" s="70">
        <f t="shared" si="2"/>
        <v>166</v>
      </c>
    </row>
    <row r="37" spans="1:10" x14ac:dyDescent="0.2">
      <c r="A37" s="66" t="s">
        <v>60</v>
      </c>
      <c r="B37" s="70">
        <v>421</v>
      </c>
      <c r="C37" s="70">
        <v>164</v>
      </c>
      <c r="D37" s="70">
        <v>53</v>
      </c>
      <c r="E37" s="70"/>
      <c r="F37" s="70">
        <v>18</v>
      </c>
      <c r="G37" s="70">
        <v>36</v>
      </c>
      <c r="H37" s="70">
        <v>8</v>
      </c>
      <c r="I37" s="70">
        <f t="shared" si="1"/>
        <v>510</v>
      </c>
      <c r="J37" s="70">
        <f t="shared" si="2"/>
        <v>190</v>
      </c>
    </row>
    <row r="38" spans="1:10" x14ac:dyDescent="0.2">
      <c r="A38" s="66" t="s">
        <v>61</v>
      </c>
      <c r="B38" s="70">
        <v>397</v>
      </c>
      <c r="C38" s="70">
        <v>304</v>
      </c>
      <c r="D38" s="70">
        <v>49</v>
      </c>
      <c r="E38" s="70"/>
      <c r="F38" s="70">
        <v>23</v>
      </c>
      <c r="G38" s="70">
        <v>54</v>
      </c>
      <c r="H38" s="70">
        <v>92</v>
      </c>
      <c r="I38" s="70">
        <f t="shared" si="1"/>
        <v>500</v>
      </c>
      <c r="J38" s="70">
        <f t="shared" si="2"/>
        <v>419</v>
      </c>
    </row>
    <row r="39" spans="1:10" x14ac:dyDescent="0.2">
      <c r="A39" s="66" t="s">
        <v>62</v>
      </c>
      <c r="B39" s="70">
        <v>230</v>
      </c>
      <c r="C39" s="70">
        <v>82</v>
      </c>
      <c r="D39" s="70">
        <v>47</v>
      </c>
      <c r="E39" s="70"/>
      <c r="F39" s="70">
        <v>12</v>
      </c>
      <c r="G39" s="70">
        <v>44</v>
      </c>
      <c r="H39" s="70">
        <v>36</v>
      </c>
      <c r="I39" s="70">
        <f t="shared" si="1"/>
        <v>321</v>
      </c>
      <c r="J39" s="70">
        <f t="shared" si="2"/>
        <v>130</v>
      </c>
    </row>
    <row r="40" spans="1:10" x14ac:dyDescent="0.2">
      <c r="A40" s="66" t="s">
        <v>63</v>
      </c>
      <c r="B40" s="70">
        <v>293</v>
      </c>
      <c r="C40" s="70">
        <v>117</v>
      </c>
      <c r="D40" s="70">
        <v>56</v>
      </c>
      <c r="E40" s="70"/>
      <c r="F40" s="70">
        <v>12</v>
      </c>
      <c r="G40" s="70">
        <v>46</v>
      </c>
      <c r="H40" s="70">
        <v>6</v>
      </c>
      <c r="I40" s="70">
        <f t="shared" si="1"/>
        <v>395</v>
      </c>
      <c r="J40" s="70">
        <f t="shared" si="2"/>
        <v>135</v>
      </c>
    </row>
    <row r="41" spans="1:10" x14ac:dyDescent="0.2">
      <c r="A41" s="66" t="s">
        <v>64</v>
      </c>
      <c r="B41" s="70">
        <v>414</v>
      </c>
      <c r="C41" s="70">
        <v>185</v>
      </c>
      <c r="D41" s="70">
        <v>62</v>
      </c>
      <c r="E41" s="70"/>
      <c r="F41" s="70">
        <v>12</v>
      </c>
      <c r="G41" s="70">
        <v>42</v>
      </c>
      <c r="H41" s="70">
        <v>20</v>
      </c>
      <c r="I41" s="70">
        <f t="shared" si="1"/>
        <v>518</v>
      </c>
      <c r="J41" s="70">
        <f t="shared" si="2"/>
        <v>217</v>
      </c>
    </row>
    <row r="42" spans="1:10" x14ac:dyDescent="0.2">
      <c r="A42" s="66" t="s">
        <v>65</v>
      </c>
      <c r="B42" s="70">
        <v>415</v>
      </c>
      <c r="C42" s="70">
        <v>283</v>
      </c>
      <c r="D42" s="70">
        <v>51</v>
      </c>
      <c r="E42" s="70"/>
      <c r="F42" s="70">
        <v>20</v>
      </c>
      <c r="G42" s="70">
        <v>62</v>
      </c>
      <c r="H42" s="70">
        <v>103</v>
      </c>
      <c r="I42" s="70">
        <f t="shared" si="1"/>
        <v>528</v>
      </c>
      <c r="J42" s="70">
        <f t="shared" si="2"/>
        <v>406</v>
      </c>
    </row>
    <row r="43" spans="1:10" x14ac:dyDescent="0.2">
      <c r="A43" s="66" t="s">
        <v>66</v>
      </c>
      <c r="B43" s="70">
        <v>342</v>
      </c>
      <c r="C43" s="70">
        <v>162</v>
      </c>
      <c r="D43" s="70">
        <v>62</v>
      </c>
      <c r="E43" s="70"/>
      <c r="F43" s="70">
        <v>10</v>
      </c>
      <c r="G43" s="70">
        <v>55</v>
      </c>
      <c r="H43" s="70">
        <v>76</v>
      </c>
      <c r="I43" s="70">
        <f t="shared" si="1"/>
        <v>459</v>
      </c>
      <c r="J43" s="70">
        <f t="shared" si="2"/>
        <v>248</v>
      </c>
    </row>
    <row r="44" spans="1:10" x14ac:dyDescent="0.2">
      <c r="A44" s="68" t="s">
        <v>67</v>
      </c>
      <c r="B44" s="69">
        <v>4311</v>
      </c>
      <c r="C44" s="69">
        <v>2656</v>
      </c>
      <c r="D44" s="69">
        <v>645</v>
      </c>
      <c r="E44" s="69"/>
      <c r="F44" s="69">
        <v>161</v>
      </c>
      <c r="G44" s="69">
        <v>569</v>
      </c>
      <c r="H44" s="69">
        <v>588</v>
      </c>
      <c r="I44" s="69">
        <v>5525</v>
      </c>
      <c r="J44" s="69">
        <v>3405</v>
      </c>
    </row>
    <row r="45" spans="1:10" x14ac:dyDescent="0.2">
      <c r="A45" s="66" t="s">
        <v>55</v>
      </c>
      <c r="B45" s="70">
        <v>397</v>
      </c>
      <c r="C45" s="70">
        <v>217</v>
      </c>
      <c r="D45" s="70">
        <v>74</v>
      </c>
      <c r="E45" s="70"/>
      <c r="F45" s="70">
        <v>18</v>
      </c>
      <c r="G45" s="70">
        <v>37</v>
      </c>
      <c r="H45" s="70">
        <v>65</v>
      </c>
      <c r="I45" s="70">
        <v>508</v>
      </c>
      <c r="J45" s="70">
        <v>300</v>
      </c>
    </row>
    <row r="46" spans="1:10" x14ac:dyDescent="0.2">
      <c r="A46" s="66" t="s">
        <v>56</v>
      </c>
      <c r="B46" s="70">
        <v>343</v>
      </c>
      <c r="C46" s="70">
        <v>166</v>
      </c>
      <c r="D46" s="70">
        <v>55</v>
      </c>
      <c r="E46" s="70"/>
      <c r="F46" s="70">
        <v>12</v>
      </c>
      <c r="G46" s="70">
        <v>49</v>
      </c>
      <c r="H46" s="70">
        <v>23</v>
      </c>
      <c r="I46" s="70">
        <v>447</v>
      </c>
      <c r="J46" s="70">
        <v>201</v>
      </c>
    </row>
    <row r="47" spans="1:10" x14ac:dyDescent="0.2">
      <c r="A47" s="66" t="s">
        <v>57</v>
      </c>
      <c r="B47" s="70">
        <v>372</v>
      </c>
      <c r="C47" s="70">
        <v>270</v>
      </c>
      <c r="D47" s="70">
        <v>50</v>
      </c>
      <c r="E47" s="70"/>
      <c r="F47" s="70">
        <v>7</v>
      </c>
      <c r="G47" s="70">
        <v>43</v>
      </c>
      <c r="H47" s="70">
        <v>10</v>
      </c>
      <c r="I47" s="70">
        <v>465</v>
      </c>
      <c r="J47" s="70">
        <v>287</v>
      </c>
    </row>
    <row r="48" spans="1:10" x14ac:dyDescent="0.2">
      <c r="A48" s="66" t="s">
        <v>58</v>
      </c>
      <c r="B48" s="70">
        <v>329</v>
      </c>
      <c r="C48" s="70">
        <v>156</v>
      </c>
      <c r="D48" s="70">
        <v>38</v>
      </c>
      <c r="E48" s="70"/>
      <c r="F48" s="70">
        <v>13</v>
      </c>
      <c r="G48" s="70">
        <v>52</v>
      </c>
      <c r="H48" s="70">
        <v>152</v>
      </c>
      <c r="I48" s="70">
        <v>419</v>
      </c>
      <c r="J48" s="70">
        <v>321</v>
      </c>
    </row>
    <row r="49" spans="1:10" x14ac:dyDescent="0.2">
      <c r="A49" s="66" t="s">
        <v>59</v>
      </c>
      <c r="B49" s="70">
        <v>400</v>
      </c>
      <c r="C49" s="70">
        <v>212</v>
      </c>
      <c r="D49" s="70">
        <v>62</v>
      </c>
      <c r="E49" s="70"/>
      <c r="F49" s="70">
        <v>19</v>
      </c>
      <c r="G49" s="70">
        <v>51</v>
      </c>
      <c r="H49" s="70">
        <v>97</v>
      </c>
      <c r="I49" s="70">
        <v>513</v>
      </c>
      <c r="J49" s="70">
        <v>328</v>
      </c>
    </row>
    <row r="50" spans="1:10" x14ac:dyDescent="0.2">
      <c r="A50" s="66" t="s">
        <v>60</v>
      </c>
      <c r="B50" s="70">
        <v>380</v>
      </c>
      <c r="C50" s="70">
        <v>205</v>
      </c>
      <c r="D50" s="70">
        <v>68</v>
      </c>
      <c r="E50" s="70"/>
      <c r="F50" s="70">
        <v>11</v>
      </c>
      <c r="G50" s="70">
        <v>51</v>
      </c>
      <c r="H50" s="70">
        <v>15</v>
      </c>
      <c r="I50" s="70">
        <v>499</v>
      </c>
      <c r="J50" s="70">
        <v>231</v>
      </c>
    </row>
    <row r="51" spans="1:10" x14ac:dyDescent="0.2">
      <c r="A51" s="66" t="s">
        <v>61</v>
      </c>
      <c r="B51" s="70">
        <v>380</v>
      </c>
      <c r="C51" s="70">
        <v>251</v>
      </c>
      <c r="D51" s="70">
        <v>64</v>
      </c>
      <c r="E51" s="70"/>
      <c r="F51" s="70">
        <v>27</v>
      </c>
      <c r="G51" s="70">
        <v>55</v>
      </c>
      <c r="H51" s="70">
        <v>56</v>
      </c>
      <c r="I51" s="70">
        <v>499</v>
      </c>
      <c r="J51" s="70">
        <v>334</v>
      </c>
    </row>
    <row r="52" spans="1:10" x14ac:dyDescent="0.2">
      <c r="A52" s="66" t="s">
        <v>62</v>
      </c>
      <c r="B52" s="70">
        <v>226</v>
      </c>
      <c r="C52" s="70">
        <v>206</v>
      </c>
      <c r="D52" s="70">
        <v>42</v>
      </c>
      <c r="E52" s="70"/>
      <c r="F52" s="70">
        <v>24</v>
      </c>
      <c r="G52" s="70">
        <v>37</v>
      </c>
      <c r="H52" s="70">
        <v>12</v>
      </c>
      <c r="I52" s="70">
        <v>305</v>
      </c>
      <c r="J52" s="70">
        <v>242</v>
      </c>
    </row>
    <row r="53" spans="1:10" x14ac:dyDescent="0.2">
      <c r="A53" s="66" t="s">
        <v>63</v>
      </c>
      <c r="B53" s="70">
        <v>334</v>
      </c>
      <c r="C53" s="70">
        <v>281</v>
      </c>
      <c r="D53" s="70">
        <v>25</v>
      </c>
      <c r="E53" s="70"/>
      <c r="F53" s="70">
        <v>6</v>
      </c>
      <c r="G53" s="70">
        <v>29</v>
      </c>
      <c r="H53" s="70">
        <v>27</v>
      </c>
      <c r="I53" s="70">
        <v>388</v>
      </c>
      <c r="J53" s="70">
        <v>314</v>
      </c>
    </row>
    <row r="54" spans="1:10" x14ac:dyDescent="0.2">
      <c r="A54" s="66" t="s">
        <v>64</v>
      </c>
      <c r="B54" s="70">
        <v>392</v>
      </c>
      <c r="C54" s="70">
        <v>317</v>
      </c>
      <c r="D54" s="70">
        <v>49</v>
      </c>
      <c r="E54" s="70"/>
      <c r="F54" s="70">
        <v>8</v>
      </c>
      <c r="G54" s="70">
        <v>60</v>
      </c>
      <c r="H54" s="70">
        <v>31</v>
      </c>
      <c r="I54" s="70">
        <v>501</v>
      </c>
      <c r="J54" s="70">
        <v>356</v>
      </c>
    </row>
    <row r="55" spans="1:10" x14ac:dyDescent="0.2">
      <c r="A55" s="66" t="s">
        <v>65</v>
      </c>
      <c r="B55" s="70">
        <v>400</v>
      </c>
      <c r="C55" s="70">
        <v>189</v>
      </c>
      <c r="D55" s="70">
        <v>61</v>
      </c>
      <c r="E55" s="70"/>
      <c r="F55" s="70">
        <v>10</v>
      </c>
      <c r="G55" s="70">
        <v>53</v>
      </c>
      <c r="H55" s="70">
        <v>46</v>
      </c>
      <c r="I55" s="70">
        <v>514</v>
      </c>
      <c r="J55" s="70">
        <v>245</v>
      </c>
    </row>
    <row r="56" spans="1:10" x14ac:dyDescent="0.2">
      <c r="A56" s="66" t="s">
        <v>66</v>
      </c>
      <c r="B56" s="70">
        <v>358</v>
      </c>
      <c r="C56" s="70">
        <v>186</v>
      </c>
      <c r="D56" s="70">
        <v>57</v>
      </c>
      <c r="E56" s="70"/>
      <c r="F56" s="70">
        <v>6</v>
      </c>
      <c r="G56" s="70">
        <v>52</v>
      </c>
      <c r="H56" s="70">
        <v>54</v>
      </c>
      <c r="I56" s="70">
        <v>467</v>
      </c>
      <c r="J56" s="70">
        <v>246</v>
      </c>
    </row>
    <row r="57" spans="1:10" x14ac:dyDescent="0.2">
      <c r="A57" s="71" t="s">
        <v>68</v>
      </c>
      <c r="B57" s="71"/>
      <c r="C57" s="71"/>
      <c r="D57" s="71"/>
      <c r="E57" s="71"/>
      <c r="F57" s="71"/>
      <c r="G57" s="71"/>
      <c r="H57" s="71"/>
      <c r="I57" s="71"/>
      <c r="J57" s="71"/>
    </row>
  </sheetData>
  <mergeCells count="13">
    <mergeCell ref="A9:A10"/>
    <mergeCell ref="A11:F11"/>
    <mergeCell ref="A28:J28"/>
    <mergeCell ref="A29:A30"/>
    <mergeCell ref="B29:C29"/>
    <mergeCell ref="D29:F29"/>
    <mergeCell ref="G29:H29"/>
    <mergeCell ref="I29:J29"/>
    <mergeCell ref="A1:F1"/>
    <mergeCell ref="A2:B2"/>
    <mergeCell ref="A3:A4"/>
    <mergeCell ref="A5:A6"/>
    <mergeCell ref="A7:A8"/>
  </mergeCells>
  <printOptions horizontalCentered="1" verticalCentered="1"/>
  <pageMargins left="0.98402777777777795" right="0.98402777777777795" top="0.98402777777777795" bottom="0.98402777777777795" header="0.51180555555555496" footer="0.51180555555555496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Índex de taules i gràfics</vt:lpstr>
      <vt:lpstr>G1</vt:lpstr>
      <vt:lpstr>Q1</vt:lpstr>
      <vt:lpstr>Q2</vt:lpstr>
      <vt:lpstr>Q3-G2</vt:lpstr>
      <vt:lpstr>Q4</vt:lpstr>
      <vt:lpstr>G3-G4</vt:lpstr>
      <vt:lpstr>Q5-</vt:lpstr>
      <vt:lpstr>-Q7BAIXA</vt:lpstr>
      <vt:lpstr>Q6-</vt:lpstr>
      <vt:lpstr>Q7-</vt:lpstr>
      <vt:lpstr>QA1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Fernando Ruiz Fernández</cp:lastModifiedBy>
  <cp:revision>10</cp:revision>
  <cp:lastPrinted>2020-05-27T19:34:02Z</cp:lastPrinted>
  <dcterms:created xsi:type="dcterms:W3CDTF">2003-05-21T19:01:13Z</dcterms:created>
  <dcterms:modified xsi:type="dcterms:W3CDTF">2022-09-30T08:13:39Z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