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book.xml" ContentType="application/vnd.openxmlformats-officedocument.spreadsheetml.sheet.main+xml"/>
  <Override PartName="/xl/media/image42.png" ContentType="image/png"/>
  <Override PartName="/xl/media/image43.png" ContentType="image/png"/>
  <Override PartName="/xl/media/image44.png" ContentType="image/png"/>
  <Override PartName="/xl/media/image45.png" ContentType="image/png"/>
  <Override PartName="/xl/media/image46.png" ContentType="image/png"/>
  <Override PartName="/xl/media/image47.png" ContentType="image/png"/>
  <Override PartName="/xl/media/image48.png" ContentType="image/png"/>
  <Override PartName="/xl/media/image4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des" sheetId="1" state="visible" r:id="rId2"/>
    <sheet name="Emissions CO2" sheetId="2" state="visible" r:id="rId3"/>
    <sheet name="Fixació CO2" sheetId="3" state="visible" r:id="rId4"/>
    <sheet name="RESULTATS" sheetId="4" state="visible" r:id="rId5"/>
    <sheet name="Factors d'emissió" sheetId="5" state="visible" r:id="rId6"/>
    <sheet name="Previsió emissions futures" sheetId="6" state="hidden" r:id="rId7"/>
    <sheet name="Mobilitat" sheetId="7" state="hidden" r:id="rId8"/>
    <sheet name="Municipis" sheetId="8" state="hidden" r:id="rId9"/>
    <sheet name="Mix electric i reduccio residus" sheetId="9" state="hidden" r:id="rId10"/>
    <sheet name="Canvi d'us sol" sheetId="10" state="hidden" r:id="rId11"/>
    <sheet name="Abs. estimades per especie" sheetId="11" state="hidden" r:id="rId12"/>
  </sheets>
  <definedNames>
    <definedName function="false" hidden="false" name="abastiment" vbProcedure="false">'Factors d''emissió'!$B$49:$C$52</definedName>
    <definedName function="false" hidden="false" name="acminims" vbProcedure="false">'Previsió emissions futures'!$AE$12:$AH$61</definedName>
    <definedName function="false" hidden="false" name="canvi_us_sol" vbProcedure="false">'Canvi d''us sol'!$B$3:$C$24</definedName>
    <definedName function="false" hidden="false" name="eminims" vbProcedure="false">'Previsió emissions futures'!$AU$12:$BA$61</definedName>
    <definedName function="false" hidden="false" name="Especies_plantes" vbProcedure="false">'Abs. estimades per especie'!$B$3:$G$87</definedName>
    <definedName function="false" hidden="false" name="illa" vbProcedure="false">Municipis!$B$3:$E$69</definedName>
    <definedName function="false" hidden="false" name="mix_electric" vbProcedure="false">'Mix electric i reduccio residus'!$B$3:$D$102</definedName>
    <definedName function="false" hidden="false" name="residus" vbProcedure="false">'Factors d''emissió'!$B$61:$C$64</definedName>
    <definedName function="false" hidden="false" name="sanejament" vbProcedure="false">'Factors d''emissió'!$B$55:$C$58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<sst xmlns="http://schemas.openxmlformats.org/spreadsheetml/2006/main" count="908" uniqueCount="518">
  <si>
    <t xml:space="preserve">1. DADES GENERALS</t>
  </si>
  <si>
    <t xml:space="preserve">Municipi</t>
  </si>
  <si>
    <t xml:space="preserve">Any començament d’obres</t>
  </si>
  <si>
    <t xml:space="preserve">Superficie total nova construcció (m²)</t>
  </si>
  <si>
    <t xml:space="preserve">Superficie destinada a vials (m²)</t>
  </si>
  <si>
    <t xml:space="preserve">Superficie destinada a aparcaments exteriors públics (m²)</t>
  </si>
  <si>
    <t xml:space="preserve">Superficie de sostre construït per aparcaments soterrats (m²)</t>
  </si>
  <si>
    <t xml:space="preserve">Creixement de població previst al planejament/modificació (habitants)</t>
  </si>
  <si>
    <t xml:space="preserve">1.1</t>
  </si>
  <si>
    <t xml:space="preserve">CANVI D’ÚS DEL SÒL</t>
  </si>
  <si>
    <t xml:space="preserve">Tipus de coberta vegetal anterior</t>
  </si>
  <si>
    <t xml:space="preserve">Superfície de sòl que passa a urbà (m²)</t>
  </si>
  <si>
    <t xml:space="preserve">1.2</t>
  </si>
  <si>
    <t xml:space="preserve">MOBILITAT</t>
  </si>
  <si>
    <t xml:space="preserve">Distància mitja dels desplaçaments urbans (km)</t>
  </si>
  <si>
    <t xml:space="preserve">Distància mitja dels desplaçaments interurbans (km)</t>
  </si>
  <si>
    <t xml:space="preserve">2. SUPERFÍCIES TOTALS PER USOS</t>
  </si>
  <si>
    <t xml:space="preserve">2.1</t>
  </si>
  <si>
    <t xml:space="preserve">ÚS RESIDENCIAL</t>
  </si>
  <si>
    <t xml:space="preserve">Tipus d’habitatges %</t>
  </si>
  <si>
    <t xml:space="preserve">Edificis plurifamiliars</t>
  </si>
  <si>
    <t xml:space="preserve">Habitatges unifamiliars</t>
  </si>
  <si>
    <t xml:space="preserve">Opció A</t>
  </si>
  <si>
    <t xml:space="preserve">m²  sòl</t>
  </si>
  <si>
    <t xml:space="preserve">I. edificabilitat (m² st/m² sòl)</t>
  </si>
  <si>
    <t xml:space="preserve">Opció B</t>
  </si>
  <si>
    <t xml:space="preserve">m²  edificables</t>
  </si>
  <si>
    <t xml:space="preserve">2.2</t>
  </si>
  <si>
    <t xml:space="preserve">ÚS EQUIPAMENTS</t>
  </si>
  <si>
    <t xml:space="preserve">Tipus d’equipaments %</t>
  </si>
  <si>
    <t xml:space="preserve">Esportius</t>
  </si>
  <si>
    <t xml:space="preserve">Altres</t>
  </si>
  <si>
    <t xml:space="preserve">2.3</t>
  </si>
  <si>
    <t xml:space="preserve">ÚS INDUSTRIAL</t>
  </si>
  <si>
    <t xml:space="preserve">Tipus d’industria %</t>
  </si>
  <si>
    <t xml:space="preserve">Logístic</t>
  </si>
  <si>
    <t xml:space="preserve">Productiu</t>
  </si>
  <si>
    <t xml:space="preserve">2.4</t>
  </si>
  <si>
    <t xml:space="preserve">ÚS TERCIARI</t>
  </si>
  <si>
    <t xml:space="preserve">Ús terciari %</t>
  </si>
  <si>
    <t xml:space="preserve">Oficinas</t>
  </si>
  <si>
    <t xml:space="preserve">Comerç i Serveis</t>
  </si>
  <si>
    <t xml:space="preserve">2.5</t>
  </si>
  <si>
    <t xml:space="preserve">ALTRES POSSIBLES CONSUMS PÚBLICS (sense considerar l’enllumenat)</t>
  </si>
  <si>
    <t xml:space="preserve">Consum energètic</t>
  </si>
  <si>
    <t xml:space="preserve">Altres possibles consums (kWh/any)</t>
  </si>
  <si>
    <t xml:space="preserve">3. MESURES DE COMPENSACIÓ</t>
  </si>
  <si>
    <t xml:space="preserve">3.1</t>
  </si>
  <si>
    <t xml:space="preserve">SISTEMES DE CAPTACIÓ D’AIGUA DE PLUJA I REUTILITZACIÓ D’AIGÜES GRISES</t>
  </si>
  <si>
    <t xml:space="preserve">m³ aigües pluvials anuals</t>
  </si>
  <si>
    <t xml:space="preserve">reciclatge aigües grises (m3/any)</t>
  </si>
  <si>
    <t xml:space="preserve">3.2</t>
  </si>
  <si>
    <t xml:space="preserve">EMBORNALS DE CARBONI. ZONES VERDES I ESPAIS PÚBLICS</t>
  </si>
  <si>
    <t xml:space="preserve">Zona verda urbana</t>
  </si>
  <si>
    <t xml:space="preserve">Situació de la zona verda</t>
  </si>
  <si>
    <t xml:space="preserve">Superfície (m²)</t>
  </si>
  <si>
    <t xml:space="preserve">Zona verda a la perifèria de la zona urbana</t>
  </si>
  <si>
    <t xml:space="preserve">Zona lliure. Espais públics urbans</t>
  </si>
  <si>
    <t xml:space="preserve">Zona verda a l’interior de la zona urbana</t>
  </si>
  <si>
    <t xml:space="preserve">Coberta ajardinada</t>
  </si>
  <si>
    <t xml:space="preserve">Tipus de coberta verda</t>
  </si>
  <si>
    <t xml:space="preserve">Intensiva</t>
  </si>
  <si>
    <t xml:space="preserve">Arbres situats als carrers</t>
  </si>
  <si>
    <t xml:space="preserve">Planta 1</t>
  </si>
  <si>
    <t xml:space="preserve">Planta 2</t>
  </si>
  <si>
    <t xml:space="preserve">Especie</t>
  </si>
  <si>
    <t xml:space="preserve">N.º peus</t>
  </si>
  <si>
    <t xml:space="preserve">20 anys</t>
  </si>
  <si>
    <t xml:space="preserve">25 anys</t>
  </si>
  <si>
    <t xml:space="preserve">30 anys</t>
  </si>
  <si>
    <t xml:space="preserve">35 anys</t>
  </si>
  <si>
    <t xml:space="preserve">40 anys</t>
  </si>
  <si>
    <t xml:space="preserve">Planta 3</t>
  </si>
  <si>
    <t xml:space="preserve">Planta 4</t>
  </si>
  <si>
    <t xml:space="preserve">3.3</t>
  </si>
  <si>
    <t xml:space="preserve">ENERGIA RENOVABLE. CAPTACIÓ SOLAR FOTOVOLTÀICA</t>
  </si>
  <si>
    <t xml:space="preserve">Situació</t>
  </si>
  <si>
    <t xml:space="preserve">kWh/any generats</t>
  </si>
  <si>
    <t xml:space="preserve">Zona d’edificis</t>
  </si>
  <si>
    <t xml:space="preserve">Zona d’aparcaments</t>
  </si>
  <si>
    <t xml:space="preserve">3.4</t>
  </si>
  <si>
    <t xml:space="preserve">ENERGIA RENOVABLE. ALTRES TIPUS</t>
  </si>
  <si>
    <t xml:space="preserve">Tipus d’energia</t>
  </si>
  <si>
    <t xml:space="preserve">3.5</t>
  </si>
  <si>
    <t xml:space="preserve">PROJECTES D’ABSORCIÓ</t>
  </si>
  <si>
    <t xml:space="preserve">Nom del projecte d’absorció</t>
  </si>
  <si>
    <t xml:space="preserve">tnCO2 eq./any</t>
  </si>
  <si>
    <t xml:space="preserve">C/ Gremi de Corredors, 10 1r</t>
  </si>
  <si>
    <t xml:space="preserve">07009 Palma</t>
  </si>
  <si>
    <t xml:space="preserve">Tel. 971 17 77 06</t>
  </si>
  <si>
    <t xml:space="preserve">canviclimatic.caib.es</t>
  </si>
  <si>
    <t xml:space="preserve">1. INFORMACIÓ BÀSICA</t>
  </si>
  <si>
    <t xml:space="preserve">Illa</t>
  </si>
  <si>
    <t xml:space="preserve">SUPERFÍCIES TOTALS PER USOS</t>
  </si>
  <si>
    <t xml:space="preserve">Ús</t>
  </si>
  <si>
    <t xml:space="preserve">m² sostre</t>
  </si>
  <si>
    <t xml:space="preserve">Residencial</t>
  </si>
  <si>
    <t xml:space="preserve">Equipaments</t>
  </si>
  <si>
    <t xml:space="preserve">Industrial</t>
  </si>
  <si>
    <t xml:space="preserve">Terciari</t>
  </si>
  <si>
    <t xml:space="preserve">CÀLCUL EMISSIONS CO2 ASSOCIADES</t>
  </si>
  <si>
    <t xml:space="preserve">Canvi d’ús del sòl (kg CO2/any)</t>
  </si>
  <si>
    <t xml:space="preserve">Mobilitat (kg CO2 eq/any)</t>
  </si>
  <si>
    <t xml:space="preserve">Fase de construcció (kg CO2 eq/any)</t>
  </si>
  <si>
    <t xml:space="preserve">Vials i aparcaments exteriors</t>
  </si>
  <si>
    <t xml:space="preserve">Edificis</t>
  </si>
  <si>
    <t xml:space="preserve">Total Construcció</t>
  </si>
  <si>
    <t xml:space="preserve">2. CÀLCUL EMISSIONS CO2 DESENVOLUPAMENT URBÀ</t>
  </si>
  <si>
    <t xml:space="preserve">ENERGIA</t>
  </si>
  <si>
    <t xml:space="preserve">Consum (kWh/any)</t>
  </si>
  <si>
    <t xml:space="preserve">CO2 (kg CO2 eq)</t>
  </si>
  <si>
    <t xml:space="preserve">Enllumenat públic i altres consums</t>
  </si>
  <si>
    <t xml:space="preserve">Total Energia</t>
  </si>
  <si>
    <t xml:space="preserve">AIGUA</t>
  </si>
  <si>
    <t xml:space="preserve">Servei</t>
  </si>
  <si>
    <t xml:space="preserve">Abastiment</t>
  </si>
  <si>
    <t xml:space="preserve">Sanejament</t>
  </si>
  <si>
    <t xml:space="preserve">Total Aigua</t>
  </si>
  <si>
    <t xml:space="preserve">RESIDUS</t>
  </si>
  <si>
    <t xml:space="preserve">Total Residus</t>
  </si>
  <si>
    <t xml:space="preserve">3. EMISSIONS CO2 GENERADES DURANT L’ANY ACTUAL</t>
  </si>
  <si>
    <t xml:space="preserve">EMISSIONS TOTALS DE CO2</t>
  </si>
  <si>
    <t xml:space="preserve">SUMATORI CO2 TOTAL (kg CO2 eq)</t>
  </si>
  <si>
    <t xml:space="preserve">tn CO2 eq/any</t>
  </si>
  <si>
    <t xml:space="preserve">PERCENTATGE D’EMISSIONS DE CO2</t>
  </si>
  <si>
    <t xml:space="preserve">Ús residencial</t>
  </si>
  <si>
    <t xml:space="preserve">kg CO2</t>
  </si>
  <si>
    <t xml:space="preserve">% aportació CO2</t>
  </si>
  <si>
    <t xml:space="preserve">Energia</t>
  </si>
  <si>
    <t xml:space="preserve">Aigua</t>
  </si>
  <si>
    <t xml:space="preserve">Residus</t>
  </si>
  <si>
    <t xml:space="preserve">Total</t>
  </si>
  <si>
    <t xml:space="preserve">Ús industrial</t>
  </si>
  <si>
    <t xml:space="preserve">Ús terciari</t>
  </si>
  <si>
    <t xml:space="preserve">Totals</t>
  </si>
  <si>
    <t xml:space="preserve">Tipus d’ús</t>
  </si>
  <si>
    <t xml:space="preserve">2. CÀLCUL REDUCCIÓ EMISSIONS CO2</t>
  </si>
  <si>
    <t xml:space="preserve">ESTALVI D’AIGUA</t>
  </si>
  <si>
    <t xml:space="preserve">Tipologia de recollida</t>
  </si>
  <si>
    <t xml:space="preserve">Aigües pluvials</t>
  </si>
  <si>
    <t xml:space="preserve">Aigües grises</t>
  </si>
  <si>
    <t xml:space="preserve">Tipus d'espai i situació</t>
  </si>
  <si>
    <t xml:space="preserve">Tipus de coberta verda en edificis</t>
  </si>
  <si>
    <t xml:space="preserve">Tipus intensiva</t>
  </si>
  <si>
    <t xml:space="preserve">Arbrers situats als carrers</t>
  </si>
  <si>
    <t xml:space="preserve">Total arboleda carrers</t>
  </si>
  <si>
    <t xml:space="preserve">Zona de vials</t>
  </si>
  <si>
    <t xml:space="preserve">3. COMPENSACIÓ D’EMISSIONS DE CO2 DURANT L’ANY ACTUAL</t>
  </si>
  <si>
    <t xml:space="preserve">REDUCCIÓ EMISSIONS TOTALS DE CO2</t>
  </si>
  <si>
    <t xml:space="preserve">tn CO2 eq</t>
  </si>
  <si>
    <t xml:space="preserve">1. Estimació d’emissions de l’any actual</t>
  </si>
  <si>
    <t xml:space="preserve">EMISSIONS CO2 GENERADES (tn CO2 eq/any)</t>
  </si>
  <si>
    <t xml:space="preserve">Canvi d’ús del sòl</t>
  </si>
  <si>
    <t xml:space="preserve">Mobilitat</t>
  </si>
  <si>
    <t xml:space="preserve">Construcció</t>
  </si>
  <si>
    <t xml:space="preserve">Consum d’energia</t>
  </si>
  <si>
    <t xml:space="preserve">Consum d’aigua</t>
  </si>
  <si>
    <t xml:space="preserve">Generació de residus</t>
  </si>
  <si>
    <t xml:space="preserve">REDUCCIÓ D’EMISSIONS CO2 (tn CO2 eq/any)</t>
  </si>
  <si>
    <t xml:space="preserve">Estalvi d’aigua</t>
  </si>
  <si>
    <t xml:space="preserve">Zones verdes i espais públics</t>
  </si>
  <si>
    <t xml:space="preserve">Generació d’energia renovable</t>
  </si>
  <si>
    <t xml:space="preserve">Projectes d'absorció de carboni</t>
  </si>
  <si>
    <t xml:space="preserve">1.3</t>
  </si>
  <si>
    <t xml:space="preserve">tn CO2 eq/ha/any</t>
  </si>
  <si>
    <t xml:space="preserve">EMISSIONS CO2 GENERADES</t>
  </si>
  <si>
    <t xml:space="preserve">REDUCCIÓ D’EMISSIONS CO2</t>
  </si>
  <si>
    <t xml:space="preserve">BALANÇ TOTAL</t>
  </si>
  <si>
    <t xml:space="preserve">2. Estimació de previsions futures</t>
  </si>
  <si>
    <t xml:space="preserve">ESCENARI FUTUR</t>
  </si>
  <si>
    <t xml:space="preserve">tn CO2 eq/ha</t>
  </si>
  <si>
    <t xml:space="preserve">BALANÇ TOTAL ACUMULAT DE CO2 A L’ANY DEFINIT (escollir any)</t>
  </si>
  <si>
    <t xml:space="preserve">Any</t>
  </si>
  <si>
    <t xml:space="preserve">tn CO2 eq. Acumulades</t>
  </si>
  <si>
    <t xml:space="preserve">tn co2 eq. Acumulades / ha</t>
  </si>
  <si>
    <t xml:space="preserve">EMES</t>
  </si>
  <si>
    <t xml:space="preserve">FIXAT</t>
  </si>
  <si>
    <t xml:space="preserve">TOTAL</t>
  </si>
  <si>
    <t xml:space="preserve">DESGLOSSAMENT D’EMISSIONS DE CO2 ACUMULADES DESPRÉS DE 50 ANYS</t>
  </si>
  <si>
    <t xml:space="preserve">tn CO2 eq. Totals</t>
  </si>
  <si>
    <t xml:space="preserve">tn co2 eq. Totals / ha</t>
  </si>
  <si>
    <t xml:space="preserve">Canvi d’ús</t>
  </si>
  <si>
    <t xml:space="preserve">DESGLOSSAMENT D’EMISSIONS DE CO2 EN UN ANY CONCRET (escollir any)</t>
  </si>
  <si>
    <t xml:space="preserve">tn CO2 eq. Anuals</t>
  </si>
  <si>
    <t xml:space="preserve">tn co2 eq. Anuals / ha</t>
  </si>
  <si>
    <t xml:space="preserve">FACTORS D'EMISSIÓ, RATIS DE CONSUM I PRODUCCIÓ DE RESIDUS</t>
  </si>
  <si>
    <t xml:space="preserve">MIX ELÈCTRIC ILLES BALEARS</t>
  </si>
  <si>
    <t xml:space="preserve">kg CO2/kWh</t>
  </si>
  <si>
    <t xml:space="preserve">FACTORS D'EMISSIÓ COMBUSTIBLES FÒSSILS (kgCO2/kWh)</t>
  </si>
  <si>
    <t xml:space="preserve">Gas natural</t>
  </si>
  <si>
    <t xml:space="preserve">GLP</t>
  </si>
  <si>
    <t xml:space="preserve">Gasoil C</t>
  </si>
  <si>
    <t xml:space="preserve">CONSUMS D’ENERGIA</t>
  </si>
  <si>
    <t xml:space="preserve">Existent (kWh/m²)</t>
  </si>
  <si>
    <t xml:space="preserve">Quasi nul (kWh/m²)</t>
  </si>
  <si>
    <t xml:space="preserve">% reducció demanda energètica edifici Quasi nul</t>
  </si>
  <si>
    <t xml:space="preserve">Ed. Plurifamiliar</t>
  </si>
  <si>
    <t xml:space="preserve">Eq. Esportiu</t>
  </si>
  <si>
    <t xml:space="preserve">Industrial logístico</t>
  </si>
  <si>
    <t xml:space="preserve">kWh/m²·any</t>
  </si>
  <si>
    <t xml:space="preserve">Viv. Unifamiliar</t>
  </si>
  <si>
    <t xml:space="preserve">Eq. Altres</t>
  </si>
  <si>
    <t xml:space="preserve">Industrial productivo</t>
  </si>
  <si>
    <t xml:space="preserve">Comercio y Servicios</t>
  </si>
  <si>
    <t xml:space="preserve">Sup. Mitja (m²)</t>
  </si>
  <si>
    <t xml:space="preserve">Consum Mig (kWh/any)</t>
  </si>
  <si>
    <t xml:space="preserve">Piso</t>
  </si>
  <si>
    <t xml:space="preserve">PERCENTATGE D’ÚS SEGONS FONT D’ENERGIA SECTOR RESIDENCIAL</t>
  </si>
  <si>
    <t xml:space="preserve">PALMA</t>
  </si>
  <si>
    <t xml:space="preserve">RESTA MUNICIPIS</t>
  </si>
  <si>
    <t xml:space="preserve">Electricitat</t>
  </si>
  <si>
    <t xml:space="preserve">*Dades d’inventari d’emissions de Mallorca any 2016</t>
  </si>
  <si>
    <t xml:space="preserve">PERCENTATGE D’ÚS SEGONS FONT D’ENERGIA SECTOR TERCIARI</t>
  </si>
  <si>
    <t xml:space="preserve">CONSUM ENERGÈTIC ABASTIMENT (kWh/m³)</t>
  </si>
  <si>
    <t xml:space="preserve">Mallorca</t>
  </si>
  <si>
    <t xml:space="preserve">Menorca</t>
  </si>
  <si>
    <t xml:space="preserve">Eivissa</t>
  </si>
  <si>
    <t xml:space="preserve">Formentera</t>
  </si>
  <si>
    <t xml:space="preserve">CONSUM ENERGÈTIC SANEJAMENT (kWh/m³)</t>
  </si>
  <si>
    <t xml:space="preserve">GENERACIÓ DE RESIDUS (kg/hab·any)</t>
  </si>
  <si>
    <t xml:space="preserve">556,902</t>
  </si>
  <si>
    <t xml:space="preserve">FACTOR D’EMISSIÓ RESIDUS (kg CO2/kg residu)</t>
  </si>
  <si>
    <t xml:space="preserve">Factor d’emissió</t>
  </si>
  <si>
    <t xml:space="preserve">Recollida en massa (abocador i incineració)</t>
  </si>
  <si>
    <t xml:space="preserve">Recollida selectiva (reciclatge i compostatge)</t>
  </si>
  <si>
    <t xml:space="preserve">FE PONDERAT</t>
  </si>
  <si>
    <t xml:space="preserve">FASE DE CONSTRUCCIÓ</t>
  </si>
  <si>
    <t xml:space="preserve">TIPUS D’OBRES</t>
  </si>
  <si>
    <t xml:space="preserve">FACTOR D’EMISSIÓ (kg CO2/kWh)</t>
  </si>
  <si>
    <t xml:space="preserve">Construcció vials i aparcaments exteriors (kg CO2/m²)</t>
  </si>
  <si>
    <t xml:space="preserve">Construcció d’edificacions (kg CO2/m²)</t>
  </si>
  <si>
    <t xml:space="preserve">CONSUM (kWh/m2·any)</t>
  </si>
  <si>
    <t xml:space="preserve">Existent</t>
  </si>
  <si>
    <t xml:space="preserve">Nou (quasi nul)</t>
  </si>
  <si>
    <t xml:space="preserve">DOTACIÓ (m3/persona·dia)</t>
  </si>
  <si>
    <t xml:space="preserve">CONSUM ENERGIA (kWh/m³)</t>
  </si>
  <si>
    <t xml:space="preserve">Generació (kg residu/hab·any)</t>
  </si>
  <si>
    <t xml:space="preserve">Factor d’emissió (kg CO2/kg residu)</t>
  </si>
  <si>
    <t xml:space="preserve">DOTACIÓ (m3/m2·any)</t>
  </si>
  <si>
    <t xml:space="preserve">Generació (kg/m2·any)</t>
  </si>
  <si>
    <t xml:space="preserve">FACTOR D’EMISSIÓ</t>
  </si>
  <si>
    <t xml:space="preserve">ENLLUMENAT PÚBLIC EXTERIOR</t>
  </si>
  <si>
    <t xml:space="preserve">CONSUM D’ENLLUMENAT PÚBLIC</t>
  </si>
  <si>
    <t xml:space="preserve">Consum de punts de llums per superfície</t>
  </si>
  <si>
    <t xml:space="preserve">FIXACIÓ DE CARBONI</t>
  </si>
  <si>
    <t xml:space="preserve">ZONA VERDA URBANA</t>
  </si>
  <si>
    <t xml:space="preserve">FACTOR D’ABSORCIÓ (tn CO2/ha·any)</t>
  </si>
  <si>
    <t xml:space="preserve">COBERTA AJARDINADA</t>
  </si>
  <si>
    <t xml:space="preserve">Coberta ajardinada de tipus intensiva</t>
  </si>
  <si>
    <t xml:space="preserve">Estimació d’escenari de futur</t>
  </si>
  <si>
    <t xml:space="preserve">Anys previstos construcció edificis</t>
  </si>
  <si>
    <t xml:space="preserve">Percentatge de creixement</t>
  </si>
  <si>
    <t xml:space="preserve">ANY</t>
  </si>
  <si>
    <t xml:space="preserve">MIX ELÈCTRIC (kg CO2/kWh)</t>
  </si>
  <si>
    <t xml:space="preserve">EMISSIONS ASSOCIADES</t>
  </si>
  <si>
    <t xml:space="preserve">EMISSIONS DEL DESENVOLUPAMENT URBÀ (kg CO2)</t>
  </si>
  <si>
    <t xml:space="preserve">REDUCCIÓ D’EMISSIONS (kg CO2)</t>
  </si>
  <si>
    <t xml:space="preserve">EMISSIÓ DE CO2 ANUAL (tn CO2)</t>
  </si>
  <si>
    <t xml:space="preserve">ABSORCIÓ DE CO2 ANUAL (tn CO2)</t>
  </si>
  <si>
    <t xml:space="preserve">CO2 TOTAL (tn)</t>
  </si>
  <si>
    <t xml:space="preserve">CO2 TOTAL PER M2 (kg/m²)</t>
  </si>
  <si>
    <t xml:space="preserve">CO2 TOTAL PER HA (tn CO2/ha)</t>
  </si>
  <si>
    <t xml:space="preserve">percentatge augment de reciclatge més compostatge</t>
  </si>
  <si>
    <t xml:space="preserve">RESIDENCIAL</t>
  </si>
  <si>
    <t xml:space="preserve">EQUIPAMENTS</t>
  </si>
  <si>
    <t xml:space="preserve">INDUSTRIAL</t>
  </si>
  <si>
    <t xml:space="preserve">TERCIARI</t>
  </si>
  <si>
    <t xml:space="preserve">CONSUM PÚBLIC</t>
  </si>
  <si>
    <t xml:space="preserve">ZONES VERDES</t>
  </si>
  <si>
    <t xml:space="preserve">GENERACIÓ ENERGIA</t>
  </si>
  <si>
    <t xml:space="preserve">PROJECTES D'ABSORCIÓ</t>
  </si>
  <si>
    <t xml:space="preserve">PÈRDUA ABSORCIÓ CANVI SÒL (kg CO2)</t>
  </si>
  <si>
    <t xml:space="preserve">MOBILITAT (kg CO2)</t>
  </si>
  <si>
    <t xml:space="preserve">CONSTRUCCIÓ (kg CO2)</t>
  </si>
  <si>
    <t xml:space="preserve">EMISSIÓ CO2 ACUMULAT (tn CO2)</t>
  </si>
  <si>
    <t xml:space="preserve">ABSORCIÓ ACUMULADA (tn CO2)</t>
  </si>
  <si>
    <t xml:space="preserve">CO2 TOTAL (tn CO2)</t>
  </si>
  <si>
    <t xml:space="preserve">CANVI D’ÚS</t>
  </si>
  <si>
    <t xml:space="preserve">CONSTRUCCIÓ</t>
  </si>
  <si>
    <t xml:space="preserve">TOTALS ACUMULATS</t>
  </si>
  <si>
    <t xml:space="preserve">S’han emès (+)</t>
  </si>
  <si>
    <t xml:space="preserve">tn CO2</t>
  </si>
  <si>
    <t xml:space="preserve">/reduit (-)</t>
  </si>
  <si>
    <t xml:space="preserve">tn CO2/ha</t>
  </si>
  <si>
    <t xml:space="preserve">tn CO2/ha·any</t>
  </si>
  <si>
    <t xml:space="preserve">Càlcul de la mobilitat</t>
  </si>
  <si>
    <t xml:space="preserve">Desplaçaments urbans</t>
  </si>
  <si>
    <t xml:space="preserve">Desplaçaments interurbans</t>
  </si>
  <si>
    <t xml:space="preserve">Parc de vehicles municipal</t>
  </si>
  <si>
    <t xml:space="preserve">Turismes</t>
  </si>
  <si>
    <t xml:space="preserve">Motocicletes</t>
  </si>
  <si>
    <t xml:space="preserve">No entren en el càlcul</t>
  </si>
  <si>
    <t xml:space="preserve">Actual</t>
  </si>
  <si>
    <t xml:space="preserve">Previsió 2050</t>
  </si>
  <si>
    <t xml:space="preserve">Ocupants/vehicle</t>
  </si>
  <si>
    <t xml:space="preserve">Furgonetes/1000 m² /dia</t>
  </si>
  <si>
    <t xml:space="preserve">Camions/1000 m² /dia</t>
  </si>
  <si>
    <t xml:space="preserve">% vehicle privat</t>
  </si>
  <si>
    <t xml:space="preserve">% vehicle públic</t>
  </si>
  <si>
    <t xml:space="preserve">% a peu / bicicleta</t>
  </si>
  <si>
    <t xml:space="preserve">-</t>
  </si>
  <si>
    <t xml:space="preserve">Tipus d’ús del sòl</t>
  </si>
  <si>
    <t xml:space="preserve">m² edificats</t>
  </si>
  <si>
    <t xml:space="preserve">n.º viatges/100m²</t>
  </si>
  <si>
    <t xml:space="preserve">n.º viatges</t>
  </si>
  <si>
    <t xml:space="preserve">turismes</t>
  </si>
  <si>
    <t xml:space="preserve">motocicletes</t>
  </si>
  <si>
    <t xml:space="preserve">furgonetes</t>
  </si>
  <si>
    <t xml:space="preserve">camions</t>
  </si>
  <si>
    <t xml:space="preserve">autobusos</t>
  </si>
  <si>
    <t xml:space="preserve">dies/setmana</t>
  </si>
  <si>
    <t xml:space="preserve">Equipament</t>
  </si>
  <si>
    <t xml:space="preserve">Esportiu</t>
  </si>
  <si>
    <t xml:space="preserve">Logístico </t>
  </si>
  <si>
    <t xml:space="preserve">Productivo</t>
  </si>
  <si>
    <t xml:space="preserve">Emisiones gCO2 / Km según vehículo/día</t>
  </si>
  <si>
    <t xml:space="preserve">Distancia media s/vehiculo km</t>
  </si>
  <si>
    <t xml:space="preserve">Emisiones gCO2 / según vehículo/día</t>
  </si>
  <si>
    <t xml:space="preserve">Emisiones tnCO2 / según vehículo/año</t>
  </si>
  <si>
    <t xml:space="preserve">Tipus de vehicle</t>
  </si>
  <si>
    <t xml:space="preserve">Combustible</t>
  </si>
  <si>
    <t xml:space="preserve">kg CO2/kg comb.</t>
  </si>
  <si>
    <t xml:space="preserve">gSO2/kg comb.</t>
  </si>
  <si>
    <t xml:space="preserve">gNOx / kg comb.</t>
  </si>
  <si>
    <t xml:space="preserve">gPartic./kg comb.</t>
  </si>
  <si>
    <t xml:space="preserve">Consum mitjà (g/km)</t>
  </si>
  <si>
    <t xml:space="preserve">Emissions gCO2/km</t>
  </si>
  <si>
    <t xml:space="preserve">Valor promig (gCO2/km)</t>
  </si>
  <si>
    <t xml:space="preserve">Gasolina</t>
  </si>
  <si>
    <t xml:space="preserve">Diesel</t>
  </si>
  <si>
    <t xml:space="preserve">Vehicles &lt; 3,5 tn</t>
  </si>
  <si>
    <t xml:space="preserve">Vehicles &gt; 3,5 tn</t>
  </si>
  <si>
    <t xml:space="preserve">GN</t>
  </si>
  <si>
    <t xml:space="preserve">MUNICIPI</t>
  </si>
  <si>
    <t xml:space="preserve">ILLA</t>
  </si>
  <si>
    <t xml:space="preserve">COTXES</t>
  </si>
  <si>
    <t xml:space="preserve">MOTOCICLETES</t>
  </si>
  <si>
    <t xml:space="preserve">Alaior</t>
  </si>
  <si>
    <t xml:space="preserve">Alaró</t>
  </si>
  <si>
    <t xml:space="preserve">Alcúdia</t>
  </si>
  <si>
    <t xml:space="preserve">Algaida</t>
  </si>
  <si>
    <t xml:space="preserve">Andratx</t>
  </si>
  <si>
    <t xml:space="preserve">Ariany</t>
  </si>
  <si>
    <t xml:space="preserve">Artà</t>
  </si>
  <si>
    <t xml:space="preserve">Banyalbufar</t>
  </si>
  <si>
    <t xml:space="preserve">Binissalem</t>
  </si>
  <si>
    <t xml:space="preserve">Búger</t>
  </si>
  <si>
    <t xml:space="preserve">Bunyola</t>
  </si>
  <si>
    <t xml:space="preserve">Calvià</t>
  </si>
  <si>
    <t xml:space="preserve">Campanet</t>
  </si>
  <si>
    <t xml:space="preserve">Campos</t>
  </si>
  <si>
    <t xml:space="preserve">Capdepera</t>
  </si>
  <si>
    <t xml:space="preserve">Ciutadella</t>
  </si>
  <si>
    <t xml:space="preserve">Consell</t>
  </si>
  <si>
    <t xml:space="preserve">Costitx</t>
  </si>
  <si>
    <t xml:space="preserve">Deià</t>
  </si>
  <si>
    <t xml:space="preserve">Es Castell</t>
  </si>
  <si>
    <t xml:space="preserve">Es Mercadal</t>
  </si>
  <si>
    <t xml:space="preserve">Es Migjorn Gran</t>
  </si>
  <si>
    <t xml:space="preserve">Escorca</t>
  </si>
  <si>
    <t xml:space="preserve">Esporles</t>
  </si>
  <si>
    <t xml:space="preserve">Estellencs</t>
  </si>
  <si>
    <t xml:space="preserve">Felanitx</t>
  </si>
  <si>
    <t xml:space="preserve">Ferreries</t>
  </si>
  <si>
    <t xml:space="preserve">Fornalutx</t>
  </si>
  <si>
    <t xml:space="preserve">Inca</t>
  </si>
  <si>
    <t xml:space="preserve">Lloret de Vistalegre</t>
  </si>
  <si>
    <t xml:space="preserve">Lloseta</t>
  </si>
  <si>
    <t xml:space="preserve">Llubí</t>
  </si>
  <si>
    <t xml:space="preserve">Llucmajor</t>
  </si>
  <si>
    <t xml:space="preserve">Manacor</t>
  </si>
  <si>
    <t xml:space="preserve">Mancor de la Vall</t>
  </si>
  <si>
    <t xml:space="preserve">Maó</t>
  </si>
  <si>
    <t xml:space="preserve">Maria de la Salut</t>
  </si>
  <si>
    <t xml:space="preserve">Marratxí</t>
  </si>
  <si>
    <t xml:space="preserve">Montuïri</t>
  </si>
  <si>
    <t xml:space="preserve">Muro</t>
  </si>
  <si>
    <t xml:space="preserve">Palma</t>
  </si>
  <si>
    <t xml:space="preserve">Petra</t>
  </si>
  <si>
    <t xml:space="preserve">Pollença</t>
  </si>
  <si>
    <t xml:space="preserve">Porreres</t>
  </si>
  <si>
    <t xml:space="preserve">Puigpunyent</t>
  </si>
  <si>
    <t xml:space="preserve">Sa Pobla</t>
  </si>
  <si>
    <t xml:space="preserve">Sant Antoni de Portmany</t>
  </si>
  <si>
    <t xml:space="preserve">Sant Joan</t>
  </si>
  <si>
    <t xml:space="preserve">Sant Joan de Labritja</t>
  </si>
  <si>
    <t xml:space="preserve">Sant Josep de sa Talaia</t>
  </si>
  <si>
    <t xml:space="preserve">Sant Llorenç des Cardassar</t>
  </si>
  <si>
    <t xml:space="preserve">Sant Lluís</t>
  </si>
  <si>
    <t xml:space="preserve">Santa Eugènia</t>
  </si>
  <si>
    <t xml:space="preserve">Santa Eulària del Riu</t>
  </si>
  <si>
    <t xml:space="preserve">Santa Margalida</t>
  </si>
  <si>
    <t xml:space="preserve">Santa Maria del Camí</t>
  </si>
  <si>
    <t xml:space="preserve">Santanyí</t>
  </si>
  <si>
    <t xml:space="preserve">Selva</t>
  </si>
  <si>
    <t xml:space="preserve">Sencelles</t>
  </si>
  <si>
    <t xml:space="preserve">Ses Salines</t>
  </si>
  <si>
    <t xml:space="preserve">Sineu</t>
  </si>
  <si>
    <t xml:space="preserve">Sóller</t>
  </si>
  <si>
    <t xml:space="preserve">Son Servera</t>
  </si>
  <si>
    <t xml:space="preserve">Valldemossa</t>
  </si>
  <si>
    <t xml:space="preserve">Vilafranca de Bonany</t>
  </si>
  <si>
    <t xml:space="preserve">MIX ELÈCTRIC</t>
  </si>
  <si>
    <t xml:space="preserve">% RESIDUS RECICLATS</t>
  </si>
  <si>
    <t xml:space="preserve">(tCO2/ha)</t>
  </si>
  <si>
    <t xml:space="preserve">Chopera</t>
  </si>
  <si>
    <t xml:space="preserve">COBERTA VEGETAL</t>
  </si>
  <si>
    <t xml:space="preserve">ABSORCIÓ PER PEU (kg CO2/PEU)</t>
  </si>
  <si>
    <t xml:space="preserve">DENSITAT (PEUS/m²)</t>
  </si>
  <si>
    <t xml:space="preserve">ABSORCIÓ (kg CO2/m²)</t>
  </si>
  <si>
    <t xml:space="preserve">Coníferas</t>
  </si>
  <si>
    <t xml:space="preserve">Pinar</t>
  </si>
  <si>
    <t xml:space="preserve">GARRIGA</t>
  </si>
  <si>
    <t xml:space="preserve">Cultius herbacis de regadiu</t>
  </si>
  <si>
    <t xml:space="preserve">Garriga</t>
  </si>
  <si>
    <t xml:space="preserve">Ullastre</t>
  </si>
  <si>
    <t xml:space="preserve">Cultius herbacis de secà</t>
  </si>
  <si>
    <t xml:space="preserve">Alzinar</t>
  </si>
  <si>
    <t xml:space="preserve">Mata</t>
  </si>
  <si>
    <t xml:space="preserve">Arbustos</t>
  </si>
  <si>
    <t xml:space="preserve">Savinar</t>
  </si>
  <si>
    <t xml:space="preserve">Olivar de secà</t>
  </si>
  <si>
    <t xml:space="preserve">Olivar de regadiu</t>
  </si>
  <si>
    <t xml:space="preserve">Prada</t>
  </si>
  <si>
    <t xml:space="preserve">Prada con arbustos</t>
  </si>
  <si>
    <t xml:space="preserve">Vinya de regadiu</t>
  </si>
  <si>
    <t xml:space="preserve">Vinya de secà</t>
  </si>
  <si>
    <t xml:space="preserve">Fruiters de regadiu</t>
  </si>
  <si>
    <t xml:space="preserve">Fruiters de secà</t>
  </si>
  <si>
    <t xml:space="preserve">Cultius hortícoles</t>
  </si>
  <si>
    <t xml:space="preserve">Coníferas y eucalipto</t>
  </si>
  <si>
    <t xml:space="preserve">Vinyes amb fruiters</t>
  </si>
  <si>
    <t xml:space="preserve">Pastures naturals</t>
  </si>
  <si>
    <t xml:space="preserve">tones de CO2 produïdes en x anys</t>
  </si>
  <si>
    <t xml:space="preserve">Abies alba</t>
  </si>
  <si>
    <t xml:space="preserve">Abies pinsapo</t>
  </si>
  <si>
    <t xml:space="preserve">Acacia spp.</t>
  </si>
  <si>
    <t xml:space="preserve">Acer spp.</t>
  </si>
  <si>
    <t xml:space="preserve">Ailanthus altissima</t>
  </si>
  <si>
    <t xml:space="preserve">Alnus spp.</t>
  </si>
  <si>
    <t xml:space="preserve">Amelanchier ovalis</t>
  </si>
  <si>
    <t xml:space="preserve">Arbutus unedo</t>
  </si>
  <si>
    <t xml:space="preserve">Betula spp.</t>
  </si>
  <si>
    <t xml:space="preserve">Carpinus betulus</t>
  </si>
  <si>
    <t xml:space="preserve">Castanea sativa</t>
  </si>
  <si>
    <t xml:space="preserve">Ceratonia siliqua</t>
  </si>
  <si>
    <t xml:space="preserve">Cedrus atlantica</t>
  </si>
  <si>
    <t xml:space="preserve">Celtis australis</t>
  </si>
  <si>
    <t xml:space="preserve">Chamaecyparis lawsoniana</t>
  </si>
  <si>
    <t xml:space="preserve">Cornus sanguinea</t>
  </si>
  <si>
    <t xml:space="preserve">Corylus avellana</t>
  </si>
  <si>
    <t xml:space="preserve">Crataegus spp.</t>
  </si>
  <si>
    <t xml:space="preserve">Cupressus arizonica</t>
  </si>
  <si>
    <t xml:space="preserve">Cupressus macrocarpa</t>
  </si>
  <si>
    <t xml:space="preserve">Cupressus sempervirens</t>
  </si>
  <si>
    <t xml:space="preserve">Erica arborea</t>
  </si>
  <si>
    <t xml:space="preserve">Eucalyptus camaldulensis</t>
  </si>
  <si>
    <t xml:space="preserve">Eucalyptus globulus</t>
  </si>
  <si>
    <t xml:space="preserve">Fagus sylvatica</t>
  </si>
  <si>
    <t xml:space="preserve">Fraxinus spp.</t>
  </si>
  <si>
    <t xml:space="preserve">Ilex aquifolium</t>
  </si>
  <si>
    <t xml:space="preserve">Ilex canariensis</t>
  </si>
  <si>
    <t xml:space="preserve">Juglans regia</t>
  </si>
  <si>
    <t xml:space="preserve">Juniperus oxycedrus, J. communis</t>
  </si>
  <si>
    <t xml:space="preserve">Juniperus phoenicea</t>
  </si>
  <si>
    <t xml:space="preserve">Juniperus thurifera</t>
  </si>
  <si>
    <t xml:space="preserve">Larix spp.</t>
  </si>
  <si>
    <t xml:space="preserve">Laurus azorica</t>
  </si>
  <si>
    <t xml:space="preserve">Laurus nobilis</t>
  </si>
  <si>
    <t xml:space="preserve">Malus sylvestris</t>
  </si>
  <si>
    <t xml:space="preserve">Myrica faya</t>
  </si>
  <si>
    <t xml:space="preserve">Myrtus communis</t>
  </si>
  <si>
    <t xml:space="preserve">Olea europaea</t>
  </si>
  <si>
    <t xml:space="preserve">Phillyrea latifolia</t>
  </si>
  <si>
    <t xml:space="preserve">Phoenix spp.</t>
  </si>
  <si>
    <t xml:space="preserve">Picea abies</t>
  </si>
  <si>
    <t xml:space="preserve">Pinus canariensis</t>
  </si>
  <si>
    <t xml:space="preserve">Pinus halepensis</t>
  </si>
  <si>
    <t xml:space="preserve">Pinus nigra Sistema Ibérico</t>
  </si>
  <si>
    <r>
      <rPr>
        <i val="true"/>
        <sz val="9"/>
        <color rgb="FF333333"/>
        <rFont val="Arial Narrow"/>
        <family val="1"/>
        <charset val="1"/>
      </rPr>
      <t xml:space="preserve">Pinus nigra</t>
    </r>
    <r>
      <rPr>
        <sz val="9"/>
        <color rgb="FF333333"/>
        <rFont val="Arial Narrow"/>
        <family val="1"/>
        <charset val="1"/>
      </rPr>
      <t xml:space="preserve">(Resto)</t>
    </r>
  </si>
  <si>
    <r>
      <rPr>
        <i val="true"/>
        <sz val="9"/>
        <color rgb="FF333333"/>
        <rFont val="Arial Narrow"/>
        <family val="1"/>
        <charset val="1"/>
      </rPr>
      <t xml:space="preserve">Pinus pinaster ssp. atlantica</t>
    </r>
    <r>
      <rPr>
        <sz val="9"/>
        <color rgb="FF333333"/>
        <rFont val="Arial Narrow"/>
        <family val="1"/>
        <charset val="1"/>
      </rPr>
      <t xml:space="preserve">Zona Norte interior</t>
    </r>
  </si>
  <si>
    <r>
      <rPr>
        <i val="true"/>
        <sz val="9"/>
        <color rgb="FF333333"/>
        <rFont val="Arial Narrow"/>
        <family val="1"/>
        <charset val="1"/>
      </rPr>
      <t xml:space="preserve">Pinus pinaster ssp. atlantica</t>
    </r>
    <r>
      <rPr>
        <sz val="9"/>
        <color rgb="FF333333"/>
        <rFont val="Arial Narrow"/>
        <family val="1"/>
        <charset val="1"/>
      </rPr>
      <t xml:space="preserve">Zona Norte costera</t>
    </r>
  </si>
  <si>
    <t xml:space="preserve">Pinus pinaster ssp. mesogeensis Sistema Central</t>
  </si>
  <si>
    <r>
      <rPr>
        <i val="true"/>
        <sz val="9"/>
        <color rgb="FF333333"/>
        <rFont val="Arial Narrow"/>
        <family val="1"/>
        <charset val="1"/>
      </rPr>
      <t xml:space="preserve">Pinus pinaster</t>
    </r>
    <r>
      <rPr>
        <sz val="9"/>
        <color rgb="FF333333"/>
        <rFont val="Arial Narrow"/>
        <family val="1"/>
        <charset val="1"/>
      </rPr>
      <t xml:space="preserve">(Resto)</t>
    </r>
  </si>
  <si>
    <t xml:space="preserve">Pinus pinea</t>
  </si>
  <si>
    <t xml:space="preserve">Pinus radiata</t>
  </si>
  <si>
    <t xml:space="preserve">Pinus sylvestris Sistema Central</t>
  </si>
  <si>
    <t xml:space="preserve">Pinus sylvestris Sistema Ibérico</t>
  </si>
  <si>
    <t xml:space="preserve">Pinus sylvestris Pirineos</t>
  </si>
  <si>
    <r>
      <rPr>
        <i val="true"/>
        <sz val="9"/>
        <color rgb="FF333333"/>
        <rFont val="Arial Narrow"/>
        <family val="1"/>
        <charset val="1"/>
      </rPr>
      <t xml:space="preserve">Pinus sylvestris</t>
    </r>
    <r>
      <rPr>
        <sz val="9"/>
        <color rgb="FF333333"/>
        <rFont val="Arial Narrow"/>
        <family val="1"/>
        <charset val="1"/>
      </rPr>
      <t xml:space="preserve">(Resto)</t>
    </r>
  </si>
  <si>
    <t xml:space="preserve">Pinus uncinata</t>
  </si>
  <si>
    <t xml:space="preserve">Pistacia terebinthus</t>
  </si>
  <si>
    <t xml:space="preserve">Platanus hispanica</t>
  </si>
  <si>
    <t xml:space="preserve">Populus alba</t>
  </si>
  <si>
    <t xml:space="preserve">Populus nigra</t>
  </si>
  <si>
    <t xml:space="preserve">Populus x canadensis</t>
  </si>
  <si>
    <t xml:space="preserve">Prunus spp.</t>
  </si>
  <si>
    <t xml:space="preserve">Pseudotsuga menziesii</t>
  </si>
  <si>
    <t xml:space="preserve">Pyrus spp.</t>
  </si>
  <si>
    <t xml:space="preserve">Quercus canariensis</t>
  </si>
  <si>
    <t xml:space="preserve">Quercus faginea</t>
  </si>
  <si>
    <t xml:space="preserve">Quercus ilex</t>
  </si>
  <si>
    <t xml:space="preserve">Quercus petraea</t>
  </si>
  <si>
    <t xml:space="preserve">Quercus pubescens</t>
  </si>
  <si>
    <t xml:space="preserve">Quercus pyrenaica</t>
  </si>
  <si>
    <t xml:space="preserve">Quercus robur</t>
  </si>
  <si>
    <t xml:space="preserve">Quercus rubra</t>
  </si>
  <si>
    <t xml:space="preserve">Quercus suber</t>
  </si>
  <si>
    <t xml:space="preserve">Rhamnus alaternus</t>
  </si>
  <si>
    <t xml:space="preserve">Robinia pseudacacia</t>
  </si>
  <si>
    <t xml:space="preserve">Salix spp.</t>
  </si>
  <si>
    <t xml:space="preserve">Sorbus spp.</t>
  </si>
  <si>
    <t xml:space="preserve">Tamarix spp.</t>
  </si>
  <si>
    <t xml:space="preserve">Taxus baccata</t>
  </si>
  <si>
    <t xml:space="preserve">Tetraclinis articulata</t>
  </si>
  <si>
    <t xml:space="preserve">Thuja spp.</t>
  </si>
  <si>
    <t xml:space="preserve">Tilia spp.</t>
  </si>
  <si>
    <t xml:space="preserve">Ulmus spp.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</si>
</sst>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0.00\ %"/>
    <numFmt numFmtId="167" formatCode="#,##0"/>
    <numFmt numFmtId="168" formatCode="#,###.00"/>
    <numFmt numFmtId="169" formatCode="#,##0.00;\-#,##0.00"/>
    <numFmt numFmtId="170" formatCode="0.000"/>
    <numFmt numFmtId="171" formatCode="0.0%"/>
    <numFmt numFmtId="172" formatCode="0.00"/>
    <numFmt numFmtId="173" formatCode="0.0"/>
  </numFmts>
  <fonts count="52">
    <font>
      <sz val="11"/>
      <color rgb="FF333333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sz val="9"/>
      <name val="B Frutiger Bold"/>
      <family val="0"/>
      <charset val="1"/>
    </font>
    <font>
      <b val="true"/>
      <sz val="24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1"/>
      <color rgb="FF333333"/>
      <name val="Noto Sans"/>
      <family val="2"/>
      <charset val="1"/>
    </font>
    <font>
      <b val="true"/>
      <i val="true"/>
      <sz val="15"/>
      <color rgb="FFFFFFFF"/>
      <name val="Noto Sans"/>
      <family val="2"/>
      <charset val="1"/>
    </font>
    <font>
      <sz val="15"/>
      <color rgb="FF333333"/>
      <name val="Noto Sans"/>
      <family val="2"/>
      <charset val="1"/>
    </font>
    <font>
      <b val="true"/>
      <sz val="11"/>
      <color rgb="FF333333"/>
      <name val="Noto Sans"/>
      <family val="2"/>
      <charset val="1"/>
    </font>
    <font>
      <b val="true"/>
      <sz val="11"/>
      <color rgb="FFFFFFFF"/>
      <name val="Noto Sans"/>
      <family val="2"/>
      <charset val="1"/>
    </font>
    <font>
      <b val="true"/>
      <sz val="11"/>
      <color rgb="FF333333"/>
      <name val="Noto Sans"/>
      <family val="0"/>
      <charset val="1"/>
    </font>
    <font>
      <sz val="11"/>
      <color rgb="FFFF0000"/>
      <name val="Noto Sans"/>
      <family val="2"/>
      <charset val="1"/>
    </font>
    <font>
      <b val="true"/>
      <sz val="11"/>
      <name val="Noto Sans"/>
      <family val="2"/>
      <charset val="1"/>
    </font>
    <font>
      <sz val="11"/>
      <name val="Noto Sans"/>
      <family val="2"/>
      <charset val="1"/>
    </font>
    <font>
      <sz val="11"/>
      <color rgb="FF000000"/>
      <name val="Noto Sans"/>
      <family val="2"/>
      <charset val="1"/>
    </font>
    <font>
      <b val="true"/>
      <sz val="15"/>
      <color rgb="FF333333"/>
      <name val="Noto Sans"/>
      <family val="2"/>
      <charset val="1"/>
    </font>
    <font>
      <b val="true"/>
      <sz val="15"/>
      <color rgb="FFFFFFFF"/>
      <name val="Noto Sans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Noto Sans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b val="true"/>
      <sz val="11"/>
      <color rgb="FF000000"/>
      <name val="Noto Sans"/>
      <family val="2"/>
      <charset val="1"/>
    </font>
    <font>
      <sz val="11"/>
      <name val="Calibri"/>
      <family val="2"/>
      <charset val="1"/>
    </font>
    <font>
      <sz val="11"/>
      <color rgb="FF333333"/>
      <name val="Noto sans"/>
      <family val="0"/>
      <charset val="1"/>
    </font>
    <font>
      <sz val="12"/>
      <color rgb="FF333333"/>
      <name val="Noto Sans"/>
      <family val="2"/>
      <charset val="1"/>
    </font>
    <font>
      <b val="true"/>
      <sz val="14"/>
      <color rgb="FF333333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12"/>
      <name val="Noto Sans"/>
      <family val="2"/>
      <charset val="1"/>
    </font>
    <font>
      <sz val="11"/>
      <color rgb="FFDEE6EF"/>
      <name val="Calibri"/>
      <family val="2"/>
      <charset val="1"/>
    </font>
    <font>
      <sz val="9"/>
      <color rgb="FF000000"/>
      <name val="Arial"/>
      <family val="2"/>
    </font>
    <font>
      <sz val="11"/>
      <color rgb="FF000000"/>
      <name val="Noto sans"/>
      <family val="0"/>
      <charset val="1"/>
    </font>
    <font>
      <b val="true"/>
      <sz val="11"/>
      <color rgb="FFFFFFFF"/>
      <name val="Noto sans"/>
      <family val="0"/>
      <charset val="1"/>
    </font>
    <font>
      <b val="true"/>
      <sz val="12"/>
      <color rgb="FF333333"/>
      <name val="Calibri"/>
      <family val="2"/>
      <charset val="1"/>
    </font>
    <font>
      <b val="true"/>
      <sz val="11"/>
      <color rgb="FFCE181E"/>
      <name val="Noto Sans"/>
      <family val="2"/>
      <charset val="1"/>
    </font>
    <font>
      <sz val="11"/>
      <color rgb="FFCE181E"/>
      <name val="Noto Sans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11"/>
      <color rgb="FF333333"/>
      <name val="Calibri"/>
      <family val="2"/>
      <charset val="1"/>
    </font>
    <font>
      <i val="true"/>
      <sz val="9"/>
      <color rgb="FF333333"/>
      <name val="Arial Narrow"/>
      <family val="1"/>
      <charset val="1"/>
    </font>
    <font>
      <sz val="9"/>
      <color rgb="FF333333"/>
      <name val="Arial Narrow"/>
      <family val="1"/>
      <charset val="1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8497B0"/>
      </patternFill>
    </fill>
    <fill>
      <patternFill patternType="solid">
        <fgColor rgb="FFDDDDDD"/>
        <bgColor rgb="FFDEE6EF"/>
      </patternFill>
    </fill>
    <fill>
      <patternFill patternType="solid">
        <fgColor rgb="FFFFCCCC"/>
        <bgColor rgb="FFF7D1D5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E8F2A1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44546A"/>
        <bgColor rgb="FF2A6099"/>
      </patternFill>
    </fill>
    <fill>
      <patternFill patternType="solid">
        <fgColor rgb="FFFFE699"/>
        <bgColor rgb="FFE8F2A1"/>
      </patternFill>
    </fill>
    <fill>
      <patternFill patternType="solid">
        <fgColor rgb="FF8497B0"/>
        <bgColor rgb="FF729FCF"/>
      </patternFill>
    </fill>
    <fill>
      <patternFill patternType="solid">
        <fgColor rgb="FFFF0000"/>
        <bgColor rgb="FFF10D0C"/>
      </patternFill>
    </fill>
    <fill>
      <patternFill patternType="solid">
        <fgColor rgb="FF92D050"/>
        <bgColor rgb="FF81D41A"/>
      </patternFill>
    </fill>
    <fill>
      <patternFill patternType="solid">
        <fgColor rgb="FFD4EA6B"/>
        <bgColor rgb="FFBBE33D"/>
      </patternFill>
    </fill>
    <fill>
      <patternFill patternType="solid">
        <fgColor rgb="FF2A6099"/>
        <bgColor rgb="FF44546A"/>
      </patternFill>
    </fill>
    <fill>
      <patternFill patternType="solid">
        <fgColor rgb="FF81D41A"/>
        <bgColor rgb="FF92D050"/>
      </patternFill>
    </fill>
    <fill>
      <patternFill patternType="solid">
        <fgColor rgb="FFF10D0C"/>
        <bgColor rgb="FFFF0000"/>
      </patternFill>
    </fill>
    <fill>
      <patternFill patternType="solid">
        <fgColor rgb="FFFF3838"/>
        <bgColor rgb="FFFF420E"/>
      </patternFill>
    </fill>
    <fill>
      <patternFill patternType="solid">
        <fgColor rgb="FFFF6D6D"/>
        <bgColor rgb="FFFF3838"/>
      </patternFill>
    </fill>
    <fill>
      <patternFill patternType="solid">
        <fgColor rgb="FFFFA6A6"/>
        <bgColor rgb="FFFFCCCC"/>
      </patternFill>
    </fill>
    <fill>
      <patternFill patternType="solid">
        <fgColor rgb="FFFFD7D7"/>
        <bgColor rgb="FFF7D1D5"/>
      </patternFill>
    </fill>
    <fill>
      <patternFill patternType="solid">
        <fgColor rgb="FF5EB91E"/>
        <bgColor rgb="FF579D1C"/>
      </patternFill>
    </fill>
    <fill>
      <patternFill patternType="solid">
        <fgColor rgb="FFBBE33D"/>
        <bgColor rgb="FFD4EA6B"/>
      </patternFill>
    </fill>
    <fill>
      <patternFill patternType="solid">
        <fgColor rgb="FFE8F2A1"/>
        <bgColor rgb="FFFFE699"/>
      </patternFill>
    </fill>
    <fill>
      <patternFill patternType="solid">
        <fgColor rgb="FF5983B0"/>
        <bgColor rgb="FF5B9BD5"/>
      </patternFill>
    </fill>
    <fill>
      <patternFill patternType="solid">
        <fgColor rgb="FF729FCF"/>
        <bgColor rgb="FF5B9BD5"/>
      </patternFill>
    </fill>
    <fill>
      <patternFill patternType="solid">
        <fgColor rgb="FFB4C7DC"/>
        <bgColor rgb="FFB3B3B3"/>
      </patternFill>
    </fill>
    <fill>
      <patternFill patternType="solid">
        <fgColor rgb="FFF7D1D5"/>
        <bgColor rgb="FFFFD7D7"/>
      </patternFill>
    </fill>
    <fill>
      <patternFill patternType="solid">
        <fgColor rgb="FFDEE6EF"/>
        <bgColor rgb="FFDDDDDD"/>
      </patternFill>
    </fill>
    <fill>
      <patternFill patternType="solid">
        <fgColor rgb="FFFFCC00"/>
        <bgColor rgb="FFFFD32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5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6" borderId="0" applyFont="true" applyBorder="false" applyAlignment="true" applyProtection="false">
      <alignment horizontal="general" vertical="bottom" textRotation="0" wrapText="false" indent="0" shrinkToFit="false"/>
    </xf>
    <xf numFmtId="164" fontId="9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7" borderId="0" applyFont="true" applyBorder="false" applyAlignment="true" applyProtection="false">
      <alignment horizontal="general" vertical="bottom" textRotation="0" wrapText="false" indent="0" shrinkToFit="false"/>
    </xf>
    <xf numFmtId="164" fontId="11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1" applyFont="true" applyBorder="true" applyAlignment="true" applyProtection="false">
      <alignment horizontal="general" vertical="bottom" textRotation="0" wrapText="false" indent="0" shrinkToFit="false"/>
    </xf>
    <xf numFmtId="164" fontId="16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7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9" borderId="0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9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10" borderId="2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1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1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9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1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9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11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9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4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1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11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9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1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9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9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0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9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7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8" fillId="1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7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20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9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9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7" fillId="9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17" fillId="9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8" fillId="1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0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5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8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8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9" borderId="1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8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1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9" borderId="1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8" fillId="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1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9" borderId="2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8" fillId="9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9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1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9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8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7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7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7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5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42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9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7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21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5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9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9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2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9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0" borderId="23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9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9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9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5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9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5" fillId="9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9" borderId="2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6" fillId="29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9" borderId="2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1" fontId="25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46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5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3" fontId="2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7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5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3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3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9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5" fillId="15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3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3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9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9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5" fillId="15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3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3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9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9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9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9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9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5" fillId="15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3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3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9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9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9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7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9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9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31" borderId="2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31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31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9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5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5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5" fillId="9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 5" xfId="21"/>
    <cellStyle name="Accent 13" xfId="22"/>
    <cellStyle name="Accent 2 15" xfId="23"/>
    <cellStyle name="Accent 2 6" xfId="24"/>
    <cellStyle name="Accent 3 16" xfId="25"/>
    <cellStyle name="Accent 3 7" xfId="26"/>
    <cellStyle name="Accent 4" xfId="27"/>
    <cellStyle name="Bad 10" xfId="28"/>
    <cellStyle name="Bad 8" xfId="29"/>
    <cellStyle name="Bold" xfId="30"/>
    <cellStyle name="Encapçalament" xfId="31"/>
    <cellStyle name="Error 12" xfId="32"/>
    <cellStyle name="Error 9" xfId="33"/>
    <cellStyle name="Footnote 10" xfId="34"/>
    <cellStyle name="Footnote 5" xfId="35"/>
    <cellStyle name="Good 11" xfId="36"/>
    <cellStyle name="Good 8" xfId="37"/>
    <cellStyle name="Heading 1 1" xfId="38"/>
    <cellStyle name="Heading 1 12" xfId="39"/>
    <cellStyle name="Heading 2 13" xfId="40"/>
    <cellStyle name="Heading 2 2" xfId="41"/>
    <cellStyle name="Hyperlink 14" xfId="42"/>
    <cellStyle name="Hyperlink 6" xfId="43"/>
    <cellStyle name="Neutral 15" xfId="44"/>
    <cellStyle name="Neutral 9" xfId="45"/>
    <cellStyle name="Note 16" xfId="46"/>
    <cellStyle name="Note 4" xfId="47"/>
    <cellStyle name="Status 17" xfId="48"/>
    <cellStyle name="Status 7" xfId="49"/>
    <cellStyle name="Text 18" xfId="50"/>
    <cellStyle name="Text 3" xfId="51"/>
    <cellStyle name="Warning 11" xfId="52"/>
    <cellStyle name="Warning 19" xfId="53"/>
  </cellStyles>
  <colors>
    <indexedColors>
      <rgbColor rgb="FF000000"/>
      <rgbColor rgb="FFFFFFFF"/>
      <rgbColor rgb="FFFF0000"/>
      <rgbColor rgb="FF92D050"/>
      <rgbColor rgb="FF0000EE"/>
      <rgbColor rgb="FFFFD320"/>
      <rgbColor rgb="FFFF00FF"/>
      <rgbColor rgb="FFFFE699"/>
      <rgbColor rgb="FF7E0021"/>
      <rgbColor rgb="FF006600"/>
      <rgbColor rgb="FF000080"/>
      <rgbColor rgb="FF996600"/>
      <rgbColor rgb="FF800080"/>
      <rgbColor rgb="FF5EB91E"/>
      <rgbColor rgb="FFB4C7DC"/>
      <rgbColor rgb="FF808080"/>
      <rgbColor rgb="FF729FCF"/>
      <rgbColor rgb="FFFF3838"/>
      <rgbColor rgb="FFFFFFCC"/>
      <rgbColor rgb="FFDEE6EF"/>
      <rgbColor rgb="FF660066"/>
      <rgbColor rgb="FFFF6D6D"/>
      <rgbColor rgb="FF2A6099"/>
      <rgbColor rgb="FFDDDDDD"/>
      <rgbColor rgb="FF000080"/>
      <rgbColor rgb="FFFF00FF"/>
      <rgbColor rgb="FFD4EA6B"/>
      <rgbColor rgb="FF00FFFF"/>
      <rgbColor rgb="FF800080"/>
      <rgbColor rgb="FFCC0000"/>
      <rgbColor rgb="FF008080"/>
      <rgbColor rgb="FF0000FF"/>
      <rgbColor rgb="FF00CCFF"/>
      <rgbColor rgb="FFFFD7D7"/>
      <rgbColor rgb="FFCCFFCC"/>
      <rgbColor rgb="FFE8F2A1"/>
      <rgbColor rgb="FF83CAFF"/>
      <rgbColor rgb="FFFFA6A6"/>
      <rgbColor rgb="FFB3B3B3"/>
      <rgbColor rgb="FFFFCCCC"/>
      <rgbColor rgb="FFF7D1D5"/>
      <rgbColor rgb="FF5B9BD5"/>
      <rgbColor rgb="FF81D41A"/>
      <rgbColor rgb="FFFFCC00"/>
      <rgbColor rgb="FFBBE33D"/>
      <rgbColor rgb="FFFF420E"/>
      <rgbColor rgb="FF5983B0"/>
      <rgbColor rgb="FF8497B0"/>
      <rgbColor rgb="FF004586"/>
      <rgbColor rgb="FF579D1C"/>
      <rgbColor rgb="FF003300"/>
      <rgbColor rgb="FF333300"/>
      <rgbColor rgb="FFCE181E"/>
      <rgbColor rgb="FFF10D0C"/>
      <rgbColor rgb="FF44546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Percentatge de CO2 produït s/fonts</a:t>
            </a:r>
          </a:p>
        </c:rich>
      </c:tx>
      <c:layout>
        <c:manualLayout>
          <c:xMode val="edge"/>
          <c:yMode val="edge"/>
          <c:x val="0.11222821644597"/>
          <c:y val="0.035563380281690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3838482916"/>
          <c:y val="0.1481220657277"/>
          <c:w val="0.62465260748733"/>
          <c:h val="0.798004694835681"/>
        </c:manualLayout>
      </c:layout>
      <c:doughnut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Lbls>
            <c:numFmt formatCode="0.00\ 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'Emissions CO2'!$E$99:$E$101</c:f>
              <c:strCache>
                <c:ptCount val="3"/>
                <c:pt idx="0">
                  <c:v>Energia</c:v>
                </c:pt>
                <c:pt idx="1">
                  <c:v>Aigua</c:v>
                </c:pt>
                <c:pt idx="2">
                  <c:v>Residus</c:v>
                </c:pt>
              </c:strCache>
            </c:strRef>
          </c:cat>
          <c:val>
            <c:numRef>
              <c:f>'Emissions CO2'!$G$99:$G$101</c:f>
              <c:numCache>
                <c:formatCode>General</c:formatCode>
                <c:ptCount val="3"/>
                <c:pt idx="0">
                  <c:v/>
                </c:pt>
                <c:pt idx="1">
                  <c:v/>
                </c:pt>
                <c:pt idx="2">
                  <c:v/>
                </c:pt>
              </c:numCache>
            </c:numRef>
          </c:val>
        </c:ser>
        <c:firstSliceAng val="0"/>
        <c:holeSize val="50"/>
      </c:doughnutChart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802760535772623"/>
          <c:y val="0.401314126863786"/>
          <c:w val="0.166462468349261"/>
          <c:h val="0.195627448502464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 w="14400">
      <a:noFill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Percentatge de CO2 produït s/usos</a:t>
            </a:r>
          </a:p>
        </c:rich>
      </c:tx>
      <c:layout>
        <c:manualLayout>
          <c:xMode val="edge"/>
          <c:yMode val="edge"/>
          <c:x val="0.0581037209689503"/>
          <c:y val="0.0283438744436636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6528760509448"/>
          <c:y val="0.152963223237292"/>
          <c:w val="0.596437193040872"/>
          <c:h val="0.823494963691731"/>
        </c:manualLayout>
      </c:layout>
      <c:doughnut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numFmt formatCode="0.00\ 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'Emissions CO2'!$E$115:$E$119</c:f>
              <c:strCache>
                <c:ptCount val="5"/>
                <c:pt idx="0">
                  <c:v>Residencial</c:v>
                </c:pt>
                <c:pt idx="1">
                  <c:v>Equipaments</c:v>
                </c:pt>
                <c:pt idx="2">
                  <c:v>Industrial</c:v>
                </c:pt>
                <c:pt idx="3">
                  <c:v>Terciari</c:v>
                </c:pt>
                <c:pt idx="4">
                  <c:v>Enllumenat públic i altres consums</c:v>
                </c:pt>
              </c:strCache>
            </c:strRef>
          </c:cat>
          <c:val>
            <c:numRef>
              <c:f>'Emissions CO2'!$G$115:$G$119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</c:ser>
        <c:firstSliceAng val="0"/>
        <c:holeSize val="50"/>
      </c:doughnut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Lbls>
            <c:numFmt formatCode="#,##0.00;\-#,##0.0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RESULTATS!$E$8:$E$13</c:f>
              <c:strCache>
                <c:ptCount val="6"/>
                <c:pt idx="0">
                  <c:v>Canvi d’ús del sòl</c:v>
                </c:pt>
                <c:pt idx="1">
                  <c:v>Mobilitat</c:v>
                </c:pt>
                <c:pt idx="2">
                  <c:v>Construcció</c:v>
                </c:pt>
                <c:pt idx="3">
                  <c:v>Consum d’energia</c:v>
                </c:pt>
                <c:pt idx="4">
                  <c:v>Consum d’aigua</c:v>
                </c:pt>
                <c:pt idx="5">
                  <c:v>Generació de residus</c:v>
                </c:pt>
              </c:strCache>
            </c:strRef>
          </c:cat>
          <c:val>
            <c:numRef>
              <c:f>RESULTATS!$F$8:$F$13</c:f>
              <c:numCache>
                <c:formatCode>General</c:formatCode>
                <c:ptCount val="6"/>
                <c:pt idx="0">
                  <c:v>0</c:v>
                </c:pt>
                <c:pt idx="1">
                  <c:v/>
                </c:pt>
                <c:pt idx="2">
                  <c:v>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EMISSIÓ / FIXACIÓ CO2 ACUMULAT (tn CO2 eq.)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'Previsió emissions futures'!$AF$11:$AF$11</c:f>
              <c:strCache>
                <c:ptCount val="1"/>
                <c:pt idx="0">
                  <c:v>EMISSIÓ CO2 ACUMULAT (tn CO2)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0.0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'Previsió emissions futures'!$AF$12:$AF$61</c:f>
              <c:numCache>
                <c:formatCode>General</c:formatCode>
                <c:ptCount val="5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</c:numCache>
            </c:numRef>
          </c:val>
        </c:ser>
        <c:ser>
          <c:idx val="1"/>
          <c:order val="1"/>
          <c:tx>
            <c:strRef>
              <c:f>'Previsió emissions futures'!$AG$11:$AG$11</c:f>
              <c:strCache>
                <c:ptCount val="1"/>
                <c:pt idx="0">
                  <c:v>ABSORCIÓ ACUMULADA (tn CO2)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0.0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'Previsió emissions futures'!$AG$12:$AG$61</c:f>
              <c:numCache>
                <c:formatCode>General</c:formatCode>
                <c:ptCount val="5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</c:numCache>
            </c:numRef>
          </c:val>
        </c:ser>
        <c:gapWidth val="100"/>
        <c:overlap val="0"/>
        <c:axId val="70350100"/>
        <c:axId val="1501986"/>
      </c:barChart>
      <c:catAx>
        <c:axId val="7035010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Arial"/>
                  </a:rPr>
                  <a:t>ANYS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501986"/>
        <c:crosses val="autoZero"/>
        <c:auto val="1"/>
        <c:lblAlgn val="ctr"/>
        <c:lblOffset val="100"/>
      </c:catAx>
      <c:valAx>
        <c:axId val="150198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Arial"/>
                  </a:rPr>
                  <a:t>TONES DE DIÒXID DE CARBONI EQUIVALENT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035010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Lbls>
            <c:numFmt formatCode="#,##0.0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RESULTATS!$E$82:$E$87</c:f>
              <c:strCache>
                <c:ptCount val="6"/>
                <c:pt idx="0">
                  <c:v>Canvi d’ús</c:v>
                </c:pt>
                <c:pt idx="1">
                  <c:v>Mobilitat</c:v>
                </c:pt>
                <c:pt idx="2">
                  <c:v>Construcció</c:v>
                </c:pt>
                <c:pt idx="3">
                  <c:v>Energia</c:v>
                </c:pt>
                <c:pt idx="4">
                  <c:v>Aigua</c:v>
                </c:pt>
                <c:pt idx="5">
                  <c:v>Residus</c:v>
                </c:pt>
              </c:strCache>
            </c:strRef>
          </c:cat>
          <c:val>
            <c:numRef>
              <c:f>RESULTATS!$F$82:$F$87</c:f>
              <c:numCache>
                <c:formatCode>General</c:formatCode>
                <c:ptCount val="6"/>
                <c:pt idx="0">
                  <c:v>0</c:v>
                </c:pt>
                <c:pt idx="1">
                  <c:v/>
                </c:pt>
                <c:pt idx="2">
                  <c:v>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Lbls>
            <c:numFmt formatCode="#,##0.0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RESULTATS!$E$100:$E$105</c:f>
              <c:strCache>
                <c:ptCount val="6"/>
                <c:pt idx="0">
                  <c:v>Canvi d’ús</c:v>
                </c:pt>
                <c:pt idx="1">
                  <c:v>Mobilitat</c:v>
                </c:pt>
                <c:pt idx="2">
                  <c:v>Construcció</c:v>
                </c:pt>
                <c:pt idx="3">
                  <c:v>Energia</c:v>
                </c:pt>
                <c:pt idx="4">
                  <c:v>Aigua</c:v>
                </c:pt>
                <c:pt idx="5">
                  <c:v>Residus</c:v>
                </c:pt>
              </c:strCache>
            </c:strRef>
          </c:cat>
          <c:val>
            <c:numRef>
              <c:f>RESULTATS!$F$100:$F$105</c:f>
              <c:numCache>
                <c:formatCode>General</c:formatCod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Lbls>
            <c:numFmt formatCode="#,##0.0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RESULTATS!$E$28:$E$29</c:f>
              <c:strCache>
                <c:ptCount val="2"/>
                <c:pt idx="0">
                  <c:v>EMISSIONS CO2 GENERADES</c:v>
                </c:pt>
                <c:pt idx="1">
                  <c:v>REDUCCIÓ D’EMISSIONS CO2</c:v>
                </c:pt>
              </c:strCache>
            </c:strRef>
          </c:cat>
          <c:val>
            <c:numRef>
              <c:f>RESULTATS!$F$28:$F$29</c:f>
              <c:numCache>
                <c:formatCode>General</c:formatCode>
                <c:ptCount val="2"/>
                <c:pt idx="0">
                  <c:v/>
                </c:pt>
                <c:pt idx="1">
                  <c:v/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2.png"/><Relationship Id="rId2" Type="http://schemas.openxmlformats.org/officeDocument/2006/relationships/image" Target="../media/image4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3.xml"/><Relationship Id="rId2" Type="http://schemas.openxmlformats.org/officeDocument/2006/relationships/chart" Target="../charts/chart44.xml"/><Relationship Id="rId3" Type="http://schemas.openxmlformats.org/officeDocument/2006/relationships/image" Target="../media/image44.png"/><Relationship Id="rId4" Type="http://schemas.openxmlformats.org/officeDocument/2006/relationships/image" Target="../media/image4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6.png"/><Relationship Id="rId2" Type="http://schemas.openxmlformats.org/officeDocument/2006/relationships/image" Target="../media/image4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5.xml"/><Relationship Id="rId2" Type="http://schemas.openxmlformats.org/officeDocument/2006/relationships/chart" Target="../charts/chart46.xml"/><Relationship Id="rId3" Type="http://schemas.openxmlformats.org/officeDocument/2006/relationships/chart" Target="../charts/chart47.xml"/><Relationship Id="rId4" Type="http://schemas.openxmlformats.org/officeDocument/2006/relationships/chart" Target="../charts/chart48.xml"/><Relationship Id="rId5" Type="http://schemas.openxmlformats.org/officeDocument/2006/relationships/chart" Target="../charts/chart49.xml"/><Relationship Id="rId6" Type="http://schemas.openxmlformats.org/officeDocument/2006/relationships/image" Target="../media/image48.png"/><Relationship Id="rId7" Type="http://schemas.openxmlformats.org/officeDocument/2006/relationships/image" Target="../media/image4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10440</xdr:colOff>
      <xdr:row>0</xdr:row>
      <xdr:rowOff>0</xdr:rowOff>
    </xdr:from>
    <xdr:to>
      <xdr:col>2</xdr:col>
      <xdr:colOff>228240</xdr:colOff>
      <xdr:row>11</xdr:row>
      <xdr:rowOff>85680</xdr:rowOff>
    </xdr:to>
    <xdr:pic>
      <xdr:nvPicPr>
        <xdr:cNvPr id="0" name="Imatge 1" descr=""/>
        <xdr:cNvPicPr/>
      </xdr:nvPicPr>
      <xdr:blipFill>
        <a:blip r:embed="rId1"/>
        <a:stretch/>
      </xdr:blipFill>
      <xdr:spPr>
        <a:xfrm>
          <a:off x="10440" y="0"/>
          <a:ext cx="944640" cy="2745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50760</xdr:colOff>
      <xdr:row>169</xdr:row>
      <xdr:rowOff>44280</xdr:rowOff>
    </xdr:from>
    <xdr:to>
      <xdr:col>4</xdr:col>
      <xdr:colOff>2399040</xdr:colOff>
      <xdr:row>181</xdr:row>
      <xdr:rowOff>18360</xdr:rowOff>
    </xdr:to>
    <xdr:pic>
      <xdr:nvPicPr>
        <xdr:cNvPr id="1" name="Imatge 2" descr=""/>
        <xdr:cNvPicPr/>
      </xdr:nvPicPr>
      <xdr:blipFill>
        <a:blip r:embed="rId2"/>
        <a:stretch/>
      </xdr:blipFill>
      <xdr:spPr>
        <a:xfrm>
          <a:off x="1749960" y="31051800"/>
          <a:ext cx="2348280" cy="207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379800</xdr:colOff>
      <xdr:row>120</xdr:row>
      <xdr:rowOff>75600</xdr:rowOff>
    </xdr:from>
    <xdr:to>
      <xdr:col>5</xdr:col>
      <xdr:colOff>1012680</xdr:colOff>
      <xdr:row>137</xdr:row>
      <xdr:rowOff>102600</xdr:rowOff>
    </xdr:to>
    <xdr:graphicFrame>
      <xdr:nvGraphicFramePr>
        <xdr:cNvPr id="2" name="Gráfico 1"/>
        <xdr:cNvGraphicFramePr/>
      </xdr:nvGraphicFramePr>
      <xdr:xfrm>
        <a:off x="1374840" y="21733920"/>
        <a:ext cx="4403880" cy="3066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1430280</xdr:colOff>
      <xdr:row>120</xdr:row>
      <xdr:rowOff>51120</xdr:rowOff>
    </xdr:from>
    <xdr:to>
      <xdr:col>7</xdr:col>
      <xdr:colOff>1348920</xdr:colOff>
      <xdr:row>137</xdr:row>
      <xdr:rowOff>84600</xdr:rowOff>
    </xdr:to>
    <xdr:graphicFrame>
      <xdr:nvGraphicFramePr>
        <xdr:cNvPr id="3" name="Gráfico 2"/>
        <xdr:cNvGraphicFramePr/>
      </xdr:nvGraphicFramePr>
      <xdr:xfrm>
        <a:off x="6196320" y="21709440"/>
        <a:ext cx="4324320" cy="3073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360</xdr:colOff>
      <xdr:row>0</xdr:row>
      <xdr:rowOff>0</xdr:rowOff>
    </xdr:from>
    <xdr:to>
      <xdr:col>2</xdr:col>
      <xdr:colOff>216360</xdr:colOff>
      <xdr:row>14</xdr:row>
      <xdr:rowOff>171360</xdr:rowOff>
    </xdr:to>
    <xdr:pic>
      <xdr:nvPicPr>
        <xdr:cNvPr id="4" name="Imatge 1" descr=""/>
        <xdr:cNvPicPr/>
      </xdr:nvPicPr>
      <xdr:blipFill>
        <a:blip r:embed="rId3"/>
        <a:stretch/>
      </xdr:blipFill>
      <xdr:spPr>
        <a:xfrm>
          <a:off x="360" y="0"/>
          <a:ext cx="944280" cy="2745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828360</xdr:colOff>
      <xdr:row>139</xdr:row>
      <xdr:rowOff>165960</xdr:rowOff>
    </xdr:from>
    <xdr:to>
      <xdr:col>4</xdr:col>
      <xdr:colOff>2337840</xdr:colOff>
      <xdr:row>151</xdr:row>
      <xdr:rowOff>140040</xdr:rowOff>
    </xdr:to>
    <xdr:pic>
      <xdr:nvPicPr>
        <xdr:cNvPr id="5" name="Imatge 2" descr=""/>
        <xdr:cNvPicPr/>
      </xdr:nvPicPr>
      <xdr:blipFill>
        <a:blip r:embed="rId4"/>
        <a:stretch/>
      </xdr:blipFill>
      <xdr:spPr>
        <a:xfrm>
          <a:off x="1823400" y="25214760"/>
          <a:ext cx="2348280" cy="207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2</xdr:col>
      <xdr:colOff>243000</xdr:colOff>
      <xdr:row>14</xdr:row>
      <xdr:rowOff>110880</xdr:rowOff>
    </xdr:to>
    <xdr:pic>
      <xdr:nvPicPr>
        <xdr:cNvPr id="6" name="Imatge 1" descr=""/>
        <xdr:cNvPicPr/>
      </xdr:nvPicPr>
      <xdr:blipFill>
        <a:blip r:embed="rId1"/>
        <a:stretch/>
      </xdr:blipFill>
      <xdr:spPr>
        <a:xfrm>
          <a:off x="360" y="0"/>
          <a:ext cx="943560" cy="2745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814320</xdr:colOff>
      <xdr:row>70</xdr:row>
      <xdr:rowOff>14400</xdr:rowOff>
    </xdr:from>
    <xdr:to>
      <xdr:col>4</xdr:col>
      <xdr:colOff>2323800</xdr:colOff>
      <xdr:row>81</xdr:row>
      <xdr:rowOff>16200</xdr:rowOff>
    </xdr:to>
    <xdr:pic>
      <xdr:nvPicPr>
        <xdr:cNvPr id="7" name="Imatge 2" descr=""/>
        <xdr:cNvPicPr/>
      </xdr:nvPicPr>
      <xdr:blipFill>
        <a:blip r:embed="rId2"/>
        <a:stretch/>
      </xdr:blipFill>
      <xdr:spPr>
        <a:xfrm>
          <a:off x="1789560" y="12798000"/>
          <a:ext cx="2348280" cy="207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760320</xdr:colOff>
      <xdr:row>5</xdr:row>
      <xdr:rowOff>53280</xdr:rowOff>
    </xdr:from>
    <xdr:to>
      <xdr:col>10</xdr:col>
      <xdr:colOff>327960</xdr:colOff>
      <xdr:row>21</xdr:row>
      <xdr:rowOff>108360</xdr:rowOff>
    </xdr:to>
    <xdr:graphicFrame>
      <xdr:nvGraphicFramePr>
        <xdr:cNvPr id="8" name="Gráfico 1"/>
        <xdr:cNvGraphicFramePr/>
      </xdr:nvGraphicFramePr>
      <xdr:xfrm>
        <a:off x="7715160" y="1050120"/>
        <a:ext cx="4192560" cy="2859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669600</xdr:colOff>
      <xdr:row>51</xdr:row>
      <xdr:rowOff>85680</xdr:rowOff>
    </xdr:from>
    <xdr:to>
      <xdr:col>15</xdr:col>
      <xdr:colOff>335880</xdr:colOff>
      <xdr:row>75</xdr:row>
      <xdr:rowOff>114120</xdr:rowOff>
    </xdr:to>
    <xdr:graphicFrame>
      <xdr:nvGraphicFramePr>
        <xdr:cNvPr id="9" name="Gráfico 3"/>
        <xdr:cNvGraphicFramePr/>
      </xdr:nvGraphicFramePr>
      <xdr:xfrm>
        <a:off x="1627560" y="9501120"/>
        <a:ext cx="14481720" cy="4284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725040</xdr:colOff>
      <xdr:row>75</xdr:row>
      <xdr:rowOff>360</xdr:rowOff>
    </xdr:from>
    <xdr:to>
      <xdr:col>13</xdr:col>
      <xdr:colOff>83520</xdr:colOff>
      <xdr:row>90</xdr:row>
      <xdr:rowOff>118440</xdr:rowOff>
    </xdr:to>
    <xdr:graphicFrame>
      <xdr:nvGraphicFramePr>
        <xdr:cNvPr id="10" name="Gráfico 1"/>
        <xdr:cNvGraphicFramePr/>
      </xdr:nvGraphicFramePr>
      <xdr:xfrm>
        <a:off x="9962280" y="13671720"/>
        <a:ext cx="4193280" cy="2807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723600</xdr:colOff>
      <xdr:row>92</xdr:row>
      <xdr:rowOff>2520</xdr:rowOff>
    </xdr:from>
    <xdr:to>
      <xdr:col>13</xdr:col>
      <xdr:colOff>82080</xdr:colOff>
      <xdr:row>107</xdr:row>
      <xdr:rowOff>142560</xdr:rowOff>
    </xdr:to>
    <xdr:graphicFrame>
      <xdr:nvGraphicFramePr>
        <xdr:cNvPr id="11" name="Gráfico 1"/>
        <xdr:cNvGraphicFramePr/>
      </xdr:nvGraphicFramePr>
      <xdr:xfrm>
        <a:off x="9960840" y="16728840"/>
        <a:ext cx="4193280" cy="283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445680</xdr:colOff>
      <xdr:row>5</xdr:row>
      <xdr:rowOff>59040</xdr:rowOff>
    </xdr:from>
    <xdr:to>
      <xdr:col>16</xdr:col>
      <xdr:colOff>70200</xdr:colOff>
      <xdr:row>21</xdr:row>
      <xdr:rowOff>122040</xdr:rowOff>
    </xdr:to>
    <xdr:graphicFrame>
      <xdr:nvGraphicFramePr>
        <xdr:cNvPr id="12" name="Gráfico 1"/>
        <xdr:cNvGraphicFramePr/>
      </xdr:nvGraphicFramePr>
      <xdr:xfrm>
        <a:off x="12636720" y="1055880"/>
        <a:ext cx="4195440" cy="2867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360</xdr:colOff>
      <xdr:row>0</xdr:row>
      <xdr:rowOff>0</xdr:rowOff>
    </xdr:from>
    <xdr:to>
      <xdr:col>2</xdr:col>
      <xdr:colOff>228600</xdr:colOff>
      <xdr:row>14</xdr:row>
      <xdr:rowOff>171360</xdr:rowOff>
    </xdr:to>
    <xdr:pic>
      <xdr:nvPicPr>
        <xdr:cNvPr id="13" name="Imatge 1" descr=""/>
        <xdr:cNvPicPr/>
      </xdr:nvPicPr>
      <xdr:blipFill>
        <a:blip r:embed="rId6"/>
        <a:stretch/>
      </xdr:blipFill>
      <xdr:spPr>
        <a:xfrm>
          <a:off x="360" y="0"/>
          <a:ext cx="943200" cy="2745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881640</xdr:colOff>
      <xdr:row>109</xdr:row>
      <xdr:rowOff>171360</xdr:rowOff>
    </xdr:from>
    <xdr:to>
      <xdr:col>4</xdr:col>
      <xdr:colOff>2336400</xdr:colOff>
      <xdr:row>121</xdr:row>
      <xdr:rowOff>145440</xdr:rowOff>
    </xdr:to>
    <xdr:pic>
      <xdr:nvPicPr>
        <xdr:cNvPr id="14" name="Imatge 2" descr=""/>
        <xdr:cNvPicPr/>
      </xdr:nvPicPr>
      <xdr:blipFill>
        <a:blip r:embed="rId7"/>
        <a:stretch/>
      </xdr:blipFill>
      <xdr:spPr>
        <a:xfrm>
          <a:off x="1839600" y="19941840"/>
          <a:ext cx="2348280" cy="20772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residus_1" displayName="residus_1" ref="B61:C64" headerRowCount="1" totalsRowCount="0" totalsRowShown="0">
  <tableColumns count="2">
    <tableColumn id="1" name="Mallorca"/>
    <tableColumn id="2" name="556,90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1:BO18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3.76"/>
    <col collapsed="false" customWidth="true" hidden="false" outlineLevel="0" max="2" min="2" style="1" width="6.54"/>
    <col collapsed="false" customWidth="true" hidden="false" outlineLevel="0" max="3" min="3" style="1" width="3.78"/>
    <col collapsed="false" customWidth="true" hidden="false" outlineLevel="0" max="4" min="4" style="2" width="10"/>
    <col collapsed="false" customWidth="true" hidden="false" outlineLevel="0" max="5" min="5" style="3" width="41.44"/>
    <col collapsed="false" customWidth="true" hidden="false" outlineLevel="0" max="6" min="6" style="3" width="40.56"/>
    <col collapsed="false" customWidth="true" hidden="false" outlineLevel="0" max="7" min="7" style="3" width="3.78"/>
    <col collapsed="false" customWidth="true" hidden="false" outlineLevel="0" max="8" min="8" style="3" width="19.89"/>
    <col collapsed="false" customWidth="true" hidden="false" outlineLevel="0" max="11" min="9" style="4" width="16.89"/>
    <col collapsed="false" customWidth="true" hidden="false" outlineLevel="0" max="67" min="12" style="4" width="11.57"/>
    <col collapsed="false" customWidth="true" hidden="false" outlineLevel="0" max="1025" min="68" style="1" width="8.67"/>
  </cols>
  <sheetData>
    <row r="1" customFormat="false" ht="18.55" hidden="false" customHeight="false" outlineLevel="0" collapsed="false"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customFormat="false" ht="18.55" hidden="false" customHeight="false" outlineLevel="0" collapsed="false">
      <c r="D2" s="8" t="s">
        <v>0</v>
      </c>
      <c r="E2" s="8"/>
      <c r="F2" s="8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customFormat="false" ht="13.8" hidden="false" customHeight="false" outlineLevel="0" collapsed="false">
      <c r="E3" s="9"/>
    </row>
    <row r="4" customFormat="false" ht="13.8" hidden="false" customHeight="false" outlineLevel="0" collapsed="false">
      <c r="E4" s="9"/>
    </row>
    <row r="5" customFormat="false" ht="13.8" hidden="false" customHeight="false" outlineLevel="0" collapsed="false">
      <c r="E5" s="10" t="s">
        <v>1</v>
      </c>
      <c r="F5" s="11"/>
    </row>
    <row r="6" customFormat="false" ht="13.8" hidden="false" customHeight="false" outlineLevel="0" collapsed="false">
      <c r="E6" s="10" t="s">
        <v>2</v>
      </c>
      <c r="F6" s="11"/>
    </row>
    <row r="7" customFormat="false" ht="13.8" hidden="false" customHeight="false" outlineLevel="0" collapsed="false">
      <c r="E7" s="10" t="s">
        <v>3</v>
      </c>
      <c r="F7" s="12"/>
    </row>
    <row r="8" customFormat="false" ht="13.8" hidden="false" customHeight="false" outlineLevel="0" collapsed="false">
      <c r="E8" s="10" t="s">
        <v>4</v>
      </c>
      <c r="F8" s="12"/>
    </row>
    <row r="9" customFormat="false" ht="29.85" hidden="false" customHeight="true" outlineLevel="0" collapsed="false">
      <c r="E9" s="13" t="s">
        <v>5</v>
      </c>
      <c r="F9" s="12"/>
    </row>
    <row r="10" customFormat="false" ht="29.85" hidden="false" customHeight="true" outlineLevel="0" collapsed="false">
      <c r="E10" s="13" t="s">
        <v>6</v>
      </c>
      <c r="F10" s="12"/>
    </row>
    <row r="11" customFormat="false" ht="29.85" hidden="false" customHeight="true" outlineLevel="0" collapsed="false">
      <c r="E11" s="13" t="s">
        <v>7</v>
      </c>
      <c r="F11" s="11"/>
    </row>
    <row r="14" customFormat="false" ht="13.8" hidden="false" customHeight="false" outlineLevel="0" collapsed="false">
      <c r="D14" s="14" t="s">
        <v>8</v>
      </c>
      <c r="E14" s="15" t="s">
        <v>9</v>
      </c>
      <c r="F14" s="15"/>
    </row>
    <row r="15" customFormat="false" ht="13.8" hidden="false" customHeight="false" outlineLevel="0" collapsed="false">
      <c r="E15" s="16"/>
      <c r="F15" s="9"/>
    </row>
    <row r="16" customFormat="false" ht="16.4" hidden="false" customHeight="false" outlineLevel="0" collapsed="false">
      <c r="E16" s="17" t="s">
        <v>10</v>
      </c>
      <c r="F16" s="18" t="s">
        <v>11</v>
      </c>
      <c r="H16" s="19"/>
    </row>
    <row r="17" customFormat="false" ht="13.8" hidden="false" customHeight="false" outlineLevel="0" collapsed="false">
      <c r="E17" s="11"/>
      <c r="F17" s="12"/>
    </row>
    <row r="18" customFormat="false" ht="13.8" hidden="false" customHeight="false" outlineLevel="0" collapsed="false">
      <c r="E18" s="11"/>
      <c r="F18" s="12"/>
    </row>
    <row r="19" customFormat="false" ht="13.8" hidden="false" customHeight="false" outlineLevel="0" collapsed="false">
      <c r="E19" s="11"/>
      <c r="F19" s="12"/>
    </row>
    <row r="20" customFormat="false" ht="13.8" hidden="false" customHeight="false" outlineLevel="0" collapsed="false">
      <c r="E20" s="11"/>
      <c r="F20" s="12"/>
    </row>
    <row r="23" customFormat="false" ht="13.8" hidden="false" customHeight="false" outlineLevel="0" collapsed="false">
      <c r="D23" s="14" t="s">
        <v>12</v>
      </c>
      <c r="E23" s="15" t="s">
        <v>13</v>
      </c>
      <c r="F23" s="15"/>
    </row>
    <row r="24" customFormat="false" ht="13.8" hidden="false" customHeight="false" outlineLevel="0" collapsed="false">
      <c r="E24" s="16"/>
    </row>
    <row r="25" customFormat="false" ht="30.75" hidden="false" customHeight="true" outlineLevel="0" collapsed="false">
      <c r="E25" s="20" t="s">
        <v>14</v>
      </c>
      <c r="F25" s="11"/>
    </row>
    <row r="26" customFormat="false" ht="31.65" hidden="false" customHeight="true" outlineLevel="0" collapsed="false">
      <c r="E26" s="20" t="s">
        <v>15</v>
      </c>
      <c r="F26" s="11"/>
    </row>
    <row r="27" customFormat="false" ht="13.8" hidden="false" customHeight="false" outlineLevel="0" collapsed="false">
      <c r="E27" s="21"/>
      <c r="F27" s="22"/>
      <c r="G27" s="9"/>
    </row>
    <row r="29" customFormat="false" ht="18.55" hidden="false" customHeight="false" outlineLevel="0" collapsed="false">
      <c r="D29" s="8" t="s">
        <v>16</v>
      </c>
      <c r="E29" s="8"/>
      <c r="F29" s="8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2" customFormat="false" ht="13.8" hidden="false" customHeight="false" outlineLevel="0" collapsed="false">
      <c r="D32" s="14" t="s">
        <v>17</v>
      </c>
      <c r="E32" s="15" t="s">
        <v>18</v>
      </c>
      <c r="F32" s="15"/>
    </row>
    <row r="33" customFormat="false" ht="13.8" hidden="false" customHeight="false" outlineLevel="0" collapsed="false">
      <c r="I33" s="2"/>
    </row>
    <row r="34" customFormat="false" ht="13.8" hidden="false" customHeight="false" outlineLevel="0" collapsed="false">
      <c r="E34" s="23" t="s">
        <v>19</v>
      </c>
      <c r="F34" s="23"/>
      <c r="H34" s="24"/>
      <c r="I34" s="24"/>
      <c r="J34" s="24"/>
      <c r="BN34" s="25"/>
      <c r="BO34" s="25"/>
    </row>
    <row r="35" customFormat="false" ht="13.8" hidden="false" customHeight="false" outlineLevel="0" collapsed="false">
      <c r="E35" s="23" t="s">
        <v>20</v>
      </c>
      <c r="F35" s="23" t="s">
        <v>21</v>
      </c>
      <c r="BN35" s="25"/>
      <c r="BO35" s="25"/>
    </row>
    <row r="36" customFormat="false" ht="13.8" hidden="false" customHeight="false" outlineLevel="0" collapsed="false">
      <c r="E36" s="26" t="n">
        <v>1</v>
      </c>
      <c r="F36" s="27" t="n">
        <f aca="false">1-E36</f>
        <v>0</v>
      </c>
      <c r="BN36" s="25"/>
      <c r="BO36" s="25"/>
    </row>
    <row r="37" customFormat="false" ht="13.8" hidden="false" customHeight="false" outlineLevel="0" collapsed="false">
      <c r="BN37" s="25"/>
      <c r="BO37" s="25"/>
    </row>
    <row r="38" customFormat="false" ht="13.8" hidden="false" customHeight="false" outlineLevel="0" collapsed="false">
      <c r="D38" s="28" t="s">
        <v>22</v>
      </c>
      <c r="E38" s="28" t="s">
        <v>23</v>
      </c>
      <c r="F38" s="28" t="s">
        <v>24</v>
      </c>
      <c r="G38" s="2"/>
      <c r="H38" s="4"/>
      <c r="BN38" s="25"/>
      <c r="BO38" s="25"/>
    </row>
    <row r="39" customFormat="false" ht="13.8" hidden="false" customHeight="false" outlineLevel="0" collapsed="false">
      <c r="D39" s="28"/>
      <c r="E39" s="12"/>
      <c r="F39" s="11"/>
      <c r="G39" s="2"/>
      <c r="H39" s="4"/>
      <c r="BN39" s="25"/>
      <c r="BO39" s="25"/>
    </row>
    <row r="40" customFormat="false" ht="13.8" hidden="false" customHeight="false" outlineLevel="0" collapsed="false">
      <c r="D40" s="28"/>
      <c r="E40" s="12"/>
      <c r="F40" s="11"/>
      <c r="G40" s="2"/>
      <c r="H40" s="4"/>
      <c r="BN40" s="25"/>
      <c r="BO40" s="25"/>
    </row>
    <row r="41" customFormat="false" ht="13.8" hidden="false" customHeight="false" outlineLevel="0" collapsed="false">
      <c r="D41" s="28"/>
      <c r="E41" s="12"/>
      <c r="F41" s="11"/>
      <c r="G41" s="2"/>
      <c r="H41" s="4"/>
      <c r="BN41" s="25"/>
      <c r="BO41" s="25"/>
    </row>
    <row r="42" customFormat="false" ht="13.8" hidden="false" customHeight="false" outlineLevel="0" collapsed="false">
      <c r="D42" s="28"/>
      <c r="E42" s="12"/>
      <c r="F42" s="11"/>
      <c r="G42" s="2"/>
      <c r="H42" s="4"/>
      <c r="BN42" s="25"/>
      <c r="BO42" s="25"/>
    </row>
    <row r="43" customFormat="false" ht="13.8" hidden="false" customHeight="false" outlineLevel="0" collapsed="false">
      <c r="D43" s="28"/>
      <c r="E43" s="12"/>
      <c r="F43" s="11"/>
      <c r="G43" s="2"/>
      <c r="H43" s="4"/>
      <c r="BN43" s="25"/>
      <c r="BO43" s="25"/>
    </row>
    <row r="44" customFormat="false" ht="13.8" hidden="false" customHeight="false" outlineLevel="0" collapsed="false">
      <c r="I44" s="2"/>
    </row>
    <row r="45" customFormat="false" ht="13.8" hidden="false" customHeight="false" outlineLevel="0" collapsed="false">
      <c r="D45" s="28" t="s">
        <v>25</v>
      </c>
      <c r="E45" s="28" t="s">
        <v>26</v>
      </c>
      <c r="H45" s="4"/>
    </row>
    <row r="46" customFormat="false" ht="13.8" hidden="false" customHeight="false" outlineLevel="0" collapsed="false">
      <c r="D46" s="28"/>
      <c r="E46" s="12"/>
      <c r="H46" s="4"/>
    </row>
    <row r="47" customFormat="false" ht="13.8" hidden="false" customHeight="false" outlineLevel="0" collapsed="false">
      <c r="BN47" s="25"/>
      <c r="BO47" s="25"/>
    </row>
    <row r="48" customFormat="false" ht="13.8" hidden="false" customHeight="false" outlineLevel="0" collapsed="false">
      <c r="BN48" s="25"/>
      <c r="BO48" s="25"/>
    </row>
    <row r="49" customFormat="false" ht="13.8" hidden="false" customHeight="false" outlineLevel="0" collapsed="false">
      <c r="D49" s="14" t="s">
        <v>27</v>
      </c>
      <c r="E49" s="15" t="s">
        <v>28</v>
      </c>
      <c r="F49" s="15"/>
      <c r="BN49" s="25"/>
      <c r="BO49" s="25"/>
    </row>
    <row r="50" customFormat="false" ht="13.8" hidden="false" customHeight="false" outlineLevel="0" collapsed="false">
      <c r="BN50" s="25"/>
      <c r="BO50" s="25"/>
    </row>
    <row r="51" customFormat="false" ht="13.8" hidden="false" customHeight="false" outlineLevel="0" collapsed="false">
      <c r="E51" s="23" t="s">
        <v>29</v>
      </c>
      <c r="F51" s="23"/>
      <c r="BN51" s="25"/>
      <c r="BO51" s="25"/>
    </row>
    <row r="52" customFormat="false" ht="13.8" hidden="false" customHeight="false" outlineLevel="0" collapsed="false">
      <c r="E52" s="23" t="s">
        <v>30</v>
      </c>
      <c r="F52" s="23" t="s">
        <v>31</v>
      </c>
      <c r="BN52" s="25"/>
      <c r="BO52" s="25"/>
    </row>
    <row r="53" customFormat="false" ht="13.8" hidden="false" customHeight="false" outlineLevel="0" collapsed="false">
      <c r="E53" s="26" t="n">
        <v>0</v>
      </c>
      <c r="F53" s="27" t="n">
        <f aca="false">1-E53</f>
        <v>1</v>
      </c>
      <c r="BN53" s="25"/>
      <c r="BO53" s="25"/>
    </row>
    <row r="55" customFormat="false" ht="13.8" hidden="false" customHeight="false" outlineLevel="0" collapsed="false">
      <c r="D55" s="28" t="s">
        <v>22</v>
      </c>
      <c r="E55" s="28" t="s">
        <v>23</v>
      </c>
      <c r="F55" s="28" t="s">
        <v>24</v>
      </c>
      <c r="G55" s="2"/>
      <c r="H55" s="4"/>
      <c r="BO55" s="25"/>
    </row>
    <row r="56" customFormat="false" ht="13.8" hidden="false" customHeight="false" outlineLevel="0" collapsed="false">
      <c r="D56" s="28"/>
      <c r="E56" s="12"/>
      <c r="F56" s="11"/>
      <c r="G56" s="2"/>
      <c r="H56" s="4"/>
      <c r="BO56" s="25"/>
    </row>
    <row r="57" customFormat="false" ht="13.8" hidden="false" customHeight="false" outlineLevel="0" collapsed="false">
      <c r="D57" s="28"/>
      <c r="E57" s="12"/>
      <c r="F57" s="11"/>
      <c r="G57" s="2"/>
      <c r="H57" s="4"/>
    </row>
    <row r="58" customFormat="false" ht="13.8" hidden="false" customHeight="false" outlineLevel="0" collapsed="false">
      <c r="D58" s="28"/>
      <c r="E58" s="12"/>
      <c r="F58" s="11"/>
      <c r="G58" s="2"/>
      <c r="H58" s="4"/>
    </row>
    <row r="59" customFormat="false" ht="13.8" hidden="false" customHeight="false" outlineLevel="0" collapsed="false">
      <c r="D59" s="28"/>
      <c r="E59" s="12"/>
      <c r="F59" s="11"/>
      <c r="G59" s="2"/>
      <c r="H59" s="4"/>
    </row>
    <row r="60" customFormat="false" ht="13.8" hidden="false" customHeight="false" outlineLevel="0" collapsed="false">
      <c r="D60" s="28"/>
      <c r="E60" s="12"/>
      <c r="F60" s="11"/>
      <c r="G60" s="2"/>
      <c r="H60" s="4"/>
    </row>
    <row r="61" customFormat="false" ht="13.8" hidden="false" customHeight="false" outlineLevel="0" collapsed="false">
      <c r="BN61" s="25"/>
      <c r="BO61" s="25"/>
    </row>
    <row r="62" customFormat="false" ht="13.8" hidden="false" customHeight="false" outlineLevel="0" collapsed="false">
      <c r="D62" s="28" t="s">
        <v>25</v>
      </c>
      <c r="E62" s="28" t="s">
        <v>26</v>
      </c>
      <c r="H62" s="4"/>
      <c r="BN62" s="25"/>
      <c r="BO62" s="25"/>
    </row>
    <row r="63" customFormat="false" ht="13.8" hidden="false" customHeight="false" outlineLevel="0" collapsed="false">
      <c r="D63" s="28"/>
      <c r="E63" s="12"/>
      <c r="H63" s="4"/>
      <c r="BN63" s="25"/>
      <c r="BO63" s="25"/>
    </row>
    <row r="64" customFormat="false" ht="13.8" hidden="false" customHeight="false" outlineLevel="0" collapsed="false">
      <c r="BN64" s="25"/>
      <c r="BO64" s="25"/>
    </row>
    <row r="65" customFormat="false" ht="13.8" hidden="false" customHeight="false" outlineLevel="0" collapsed="false">
      <c r="BN65" s="25"/>
      <c r="BO65" s="25"/>
    </row>
    <row r="66" customFormat="false" ht="13.8" hidden="false" customHeight="false" outlineLevel="0" collapsed="false">
      <c r="D66" s="14" t="s">
        <v>32</v>
      </c>
      <c r="E66" s="15" t="s">
        <v>33</v>
      </c>
      <c r="F66" s="15"/>
      <c r="BN66" s="25"/>
      <c r="BO66" s="25"/>
    </row>
    <row r="68" customFormat="false" ht="13.8" hidden="false" customHeight="false" outlineLevel="0" collapsed="false">
      <c r="E68" s="23" t="s">
        <v>34</v>
      </c>
      <c r="F68" s="23"/>
      <c r="BO68" s="25"/>
    </row>
    <row r="69" customFormat="false" ht="13.8" hidden="false" customHeight="false" outlineLevel="0" collapsed="false">
      <c r="E69" s="23" t="s">
        <v>35</v>
      </c>
      <c r="F69" s="23" t="s">
        <v>36</v>
      </c>
      <c r="BO69" s="25"/>
    </row>
    <row r="70" customFormat="false" ht="13.8" hidden="false" customHeight="false" outlineLevel="0" collapsed="false">
      <c r="E70" s="26" t="n">
        <v>0</v>
      </c>
      <c r="F70" s="27" t="n">
        <f aca="false">1-E70</f>
        <v>1</v>
      </c>
      <c r="BO70" s="25"/>
    </row>
    <row r="72" customFormat="false" ht="13.8" hidden="false" customHeight="false" outlineLevel="0" collapsed="false">
      <c r="D72" s="28" t="s">
        <v>22</v>
      </c>
      <c r="E72" s="28" t="s">
        <v>23</v>
      </c>
      <c r="F72" s="28" t="s">
        <v>24</v>
      </c>
      <c r="G72" s="2"/>
      <c r="H72" s="4"/>
    </row>
    <row r="73" customFormat="false" ht="13.8" hidden="false" customHeight="false" outlineLevel="0" collapsed="false">
      <c r="D73" s="28"/>
      <c r="E73" s="12"/>
      <c r="F73" s="11"/>
      <c r="G73" s="2"/>
      <c r="H73" s="4"/>
    </row>
    <row r="74" customFormat="false" ht="13.8" hidden="false" customHeight="false" outlineLevel="0" collapsed="false">
      <c r="D74" s="28"/>
      <c r="E74" s="12"/>
      <c r="F74" s="11"/>
      <c r="G74" s="2"/>
      <c r="H74" s="4"/>
      <c r="BN74" s="25"/>
      <c r="BO74" s="25"/>
    </row>
    <row r="75" customFormat="false" ht="13.8" hidden="false" customHeight="false" outlineLevel="0" collapsed="false">
      <c r="D75" s="28"/>
      <c r="E75" s="12"/>
      <c r="F75" s="11"/>
      <c r="G75" s="2"/>
      <c r="H75" s="4"/>
      <c r="BN75" s="25"/>
      <c r="BO75" s="25"/>
    </row>
    <row r="76" customFormat="false" ht="13.8" hidden="false" customHeight="false" outlineLevel="0" collapsed="false">
      <c r="D76" s="28"/>
      <c r="E76" s="12"/>
      <c r="F76" s="11"/>
      <c r="G76" s="2"/>
      <c r="H76" s="4"/>
      <c r="BN76" s="25"/>
      <c r="BO76" s="25"/>
    </row>
    <row r="77" customFormat="false" ht="13.8" hidden="false" customHeight="false" outlineLevel="0" collapsed="false">
      <c r="D77" s="28"/>
      <c r="E77" s="12"/>
      <c r="F77" s="11"/>
      <c r="G77" s="2"/>
      <c r="H77" s="4"/>
      <c r="BN77" s="25"/>
      <c r="BO77" s="25"/>
    </row>
    <row r="78" customFormat="false" ht="13.8" hidden="false" customHeight="false" outlineLevel="0" collapsed="false">
      <c r="I78" s="2"/>
      <c r="BN78" s="25"/>
      <c r="BO78" s="25"/>
    </row>
    <row r="79" customFormat="false" ht="13.8" hidden="false" customHeight="false" outlineLevel="0" collapsed="false">
      <c r="D79" s="28" t="s">
        <v>25</v>
      </c>
      <c r="E79" s="28" t="s">
        <v>26</v>
      </c>
      <c r="H79" s="4"/>
      <c r="BN79" s="25"/>
      <c r="BO79" s="25"/>
    </row>
    <row r="80" customFormat="false" ht="13.8" hidden="false" customHeight="false" outlineLevel="0" collapsed="false">
      <c r="D80" s="28"/>
      <c r="E80" s="11"/>
      <c r="H80" s="4"/>
    </row>
    <row r="81" customFormat="false" ht="13.8" hidden="false" customHeight="false" outlineLevel="0" collapsed="false">
      <c r="BO81" s="25"/>
    </row>
    <row r="82" customFormat="false" ht="13.8" hidden="false" customHeight="false" outlineLevel="0" collapsed="false">
      <c r="BO82" s="25"/>
    </row>
    <row r="83" customFormat="false" ht="13.8" hidden="false" customHeight="false" outlineLevel="0" collapsed="false">
      <c r="D83" s="14" t="s">
        <v>37</v>
      </c>
      <c r="E83" s="15" t="s">
        <v>38</v>
      </c>
      <c r="F83" s="15"/>
      <c r="BO83" s="25"/>
    </row>
    <row r="85" customFormat="false" ht="13.8" hidden="false" customHeight="false" outlineLevel="0" collapsed="false">
      <c r="E85" s="23" t="s">
        <v>39</v>
      </c>
      <c r="F85" s="23"/>
    </row>
    <row r="86" customFormat="false" ht="13.8" hidden="false" customHeight="false" outlineLevel="0" collapsed="false">
      <c r="E86" s="23" t="s">
        <v>40</v>
      </c>
      <c r="F86" s="23" t="s">
        <v>41</v>
      </c>
    </row>
    <row r="87" customFormat="false" ht="13.8" hidden="false" customHeight="false" outlineLevel="0" collapsed="false">
      <c r="E87" s="26" t="n">
        <v>0</v>
      </c>
      <c r="F87" s="27" t="n">
        <f aca="false">1-E87</f>
        <v>1</v>
      </c>
    </row>
    <row r="88" customFormat="false" ht="13.8" hidden="false" customHeight="false" outlineLevel="0" collapsed="false">
      <c r="BN88" s="25"/>
      <c r="BO88" s="25"/>
    </row>
    <row r="89" customFormat="false" ht="13.8" hidden="false" customHeight="false" outlineLevel="0" collapsed="false">
      <c r="D89" s="28" t="s">
        <v>22</v>
      </c>
      <c r="E89" s="28" t="s">
        <v>23</v>
      </c>
      <c r="F89" s="28" t="s">
        <v>24</v>
      </c>
      <c r="G89" s="2"/>
      <c r="H89" s="4"/>
      <c r="BN89" s="25"/>
      <c r="BO89" s="25"/>
    </row>
    <row r="90" customFormat="false" ht="13.8" hidden="false" customHeight="false" outlineLevel="0" collapsed="false">
      <c r="D90" s="28"/>
      <c r="E90" s="12"/>
      <c r="F90" s="11"/>
      <c r="G90" s="2"/>
      <c r="H90" s="4"/>
      <c r="BN90" s="25"/>
      <c r="BO90" s="25"/>
    </row>
    <row r="91" customFormat="false" ht="13.8" hidden="false" customHeight="false" outlineLevel="0" collapsed="false">
      <c r="D91" s="28"/>
      <c r="E91" s="12"/>
      <c r="F91" s="11"/>
      <c r="G91" s="2"/>
      <c r="H91" s="4"/>
      <c r="BN91" s="25"/>
      <c r="BO91" s="25"/>
    </row>
    <row r="92" customFormat="false" ht="13.8" hidden="false" customHeight="false" outlineLevel="0" collapsed="false">
      <c r="D92" s="28"/>
      <c r="E92" s="12"/>
      <c r="F92" s="11"/>
      <c r="G92" s="2"/>
      <c r="H92" s="4"/>
      <c r="BN92" s="25"/>
      <c r="BO92" s="25"/>
    </row>
    <row r="93" customFormat="false" ht="13.8" hidden="false" customHeight="false" outlineLevel="0" collapsed="false">
      <c r="D93" s="28"/>
      <c r="E93" s="12"/>
      <c r="F93" s="11"/>
      <c r="G93" s="2"/>
      <c r="H93" s="4"/>
      <c r="BN93" s="25"/>
      <c r="BO93" s="25"/>
    </row>
    <row r="94" customFormat="false" ht="13.8" hidden="false" customHeight="false" outlineLevel="0" collapsed="false">
      <c r="D94" s="28"/>
      <c r="E94" s="12"/>
      <c r="F94" s="11"/>
      <c r="G94" s="2"/>
      <c r="H94" s="4"/>
    </row>
    <row r="95" customFormat="false" ht="13.8" hidden="false" customHeight="false" outlineLevel="0" collapsed="false">
      <c r="BO95" s="25"/>
    </row>
    <row r="96" customFormat="false" ht="13.8" hidden="false" customHeight="false" outlineLevel="0" collapsed="false">
      <c r="D96" s="28" t="s">
        <v>25</v>
      </c>
      <c r="E96" s="28" t="s">
        <v>26</v>
      </c>
      <c r="H96" s="4"/>
      <c r="BO96" s="25"/>
    </row>
    <row r="97" customFormat="false" ht="13.8" hidden="false" customHeight="false" outlineLevel="0" collapsed="false">
      <c r="D97" s="28"/>
      <c r="E97" s="12"/>
      <c r="H97" s="4"/>
    </row>
    <row r="98" customFormat="false" ht="13.8" hidden="false" customHeight="false" outlineLevel="0" collapsed="false">
      <c r="E98" s="29"/>
    </row>
    <row r="100" customFormat="false" ht="13.8" hidden="false" customHeight="false" outlineLevel="0" collapsed="false">
      <c r="D100" s="14" t="s">
        <v>42</v>
      </c>
      <c r="E100" s="15" t="s">
        <v>43</v>
      </c>
      <c r="F100" s="15"/>
    </row>
    <row r="102" customFormat="false" ht="13.8" hidden="false" customHeight="false" outlineLevel="0" collapsed="false">
      <c r="E102" s="28" t="s">
        <v>44</v>
      </c>
      <c r="F102" s="28"/>
    </row>
    <row r="103" customFormat="false" ht="16.65" hidden="false" customHeight="false" outlineLevel="0" collapsed="false">
      <c r="E103" s="30" t="s">
        <v>45</v>
      </c>
      <c r="F103" s="12"/>
    </row>
    <row r="106" customFormat="false" ht="18.55" hidden="false" customHeight="false" outlineLevel="0" collapsed="false">
      <c r="D106" s="8" t="s">
        <v>46</v>
      </c>
      <c r="E106" s="8"/>
      <c r="F106" s="8"/>
    </row>
    <row r="109" customFormat="false" ht="13.8" hidden="false" customHeight="false" outlineLevel="0" collapsed="false">
      <c r="D109" s="14" t="s">
        <v>47</v>
      </c>
      <c r="E109" s="15" t="s">
        <v>48</v>
      </c>
      <c r="F109" s="15"/>
    </row>
    <row r="111" customFormat="false" ht="13.8" hidden="false" customHeight="false" outlineLevel="0" collapsed="false">
      <c r="E111" s="31" t="s">
        <v>49</v>
      </c>
      <c r="F111" s="31" t="s">
        <v>50</v>
      </c>
    </row>
    <row r="112" customFormat="false" ht="13.8" hidden="false" customHeight="false" outlineLevel="0" collapsed="false">
      <c r="E112" s="32"/>
      <c r="F112" s="32"/>
    </row>
    <row r="113" customFormat="false" ht="13.8" hidden="false" customHeight="false" outlineLevel="0" collapsed="false">
      <c r="E113" s="9"/>
      <c r="F113" s="9"/>
    </row>
    <row r="115" customFormat="false" ht="13.8" hidden="false" customHeight="false" outlineLevel="0" collapsed="false">
      <c r="D115" s="14" t="s">
        <v>51</v>
      </c>
      <c r="E115" s="15" t="s">
        <v>52</v>
      </c>
      <c r="F115" s="15"/>
    </row>
    <row r="117" customFormat="false" ht="13.8" hidden="false" customHeight="false" outlineLevel="0" collapsed="false">
      <c r="E117" s="31" t="s">
        <v>53</v>
      </c>
      <c r="F117" s="31"/>
    </row>
    <row r="118" customFormat="false" ht="13.8" hidden="false" customHeight="false" outlineLevel="0" collapsed="false">
      <c r="E118" s="31" t="s">
        <v>54</v>
      </c>
      <c r="F118" s="31" t="s">
        <v>55</v>
      </c>
    </row>
    <row r="119" customFormat="false" ht="13.8" hidden="false" customHeight="false" outlineLevel="0" collapsed="false">
      <c r="E119" s="33" t="s">
        <v>56</v>
      </c>
      <c r="F119" s="12"/>
    </row>
    <row r="120" customFormat="false" ht="13.8" hidden="false" customHeight="false" outlineLevel="0" collapsed="false">
      <c r="E120" s="33" t="s">
        <v>57</v>
      </c>
      <c r="F120" s="12"/>
    </row>
    <row r="121" customFormat="false" ht="13.8" hidden="false" customHeight="false" outlineLevel="0" collapsed="false">
      <c r="E121" s="33" t="s">
        <v>58</v>
      </c>
      <c r="F121" s="12"/>
    </row>
    <row r="123" customFormat="false" ht="13.8" hidden="false" customHeight="false" outlineLevel="0" collapsed="false">
      <c r="E123" s="31" t="s">
        <v>59</v>
      </c>
      <c r="F123" s="31"/>
    </row>
    <row r="124" customFormat="false" ht="13.8" hidden="false" customHeight="false" outlineLevel="0" collapsed="false">
      <c r="E124" s="31" t="s">
        <v>60</v>
      </c>
      <c r="F124" s="31" t="s">
        <v>55</v>
      </c>
    </row>
    <row r="125" customFormat="false" ht="13.8" hidden="false" customHeight="false" outlineLevel="0" collapsed="false">
      <c r="E125" s="33" t="s">
        <v>61</v>
      </c>
      <c r="F125" s="34"/>
    </row>
    <row r="127" customFormat="false" ht="15.75" hidden="false" customHeight="true" outlineLevel="0" collapsed="false">
      <c r="E127" s="31" t="s">
        <v>62</v>
      </c>
      <c r="F127" s="31"/>
      <c r="G127" s="35"/>
    </row>
    <row r="128" customFormat="false" ht="13.8" hidden="false" customHeight="false" outlineLevel="0" collapsed="false">
      <c r="E128" s="31" t="s">
        <v>63</v>
      </c>
      <c r="F128" s="31" t="s">
        <v>64</v>
      </c>
      <c r="G128" s="35"/>
    </row>
    <row r="129" customFormat="false" ht="13.8" hidden="false" customHeight="false" outlineLevel="0" collapsed="false">
      <c r="D129" s="2" t="s">
        <v>65</v>
      </c>
      <c r="E129" s="36"/>
      <c r="F129" s="36"/>
      <c r="G129" s="35"/>
    </row>
    <row r="130" customFormat="false" ht="13.8" hidden="false" customHeight="false" outlineLevel="0" collapsed="false">
      <c r="D130" s="2" t="s">
        <v>66</v>
      </c>
      <c r="E130" s="11"/>
      <c r="F130" s="11"/>
    </row>
    <row r="131" customFormat="false" ht="13.8" hidden="false" customHeight="false" outlineLevel="0" collapsed="false">
      <c r="D131" s="2" t="s">
        <v>67</v>
      </c>
      <c r="E131" s="37" t="n">
        <f aca="false">IF(E129="",0,VLOOKUP(E129,Especies_plantes,2,FALSE()))</f>
        <v>0</v>
      </c>
      <c r="F131" s="37" t="n">
        <f aca="false">IF(F129="",0,VLOOKUP(F129,Especies_plantes,2,FALSE()))</f>
        <v>0</v>
      </c>
    </row>
    <row r="132" customFormat="false" ht="13.8" hidden="false" customHeight="false" outlineLevel="0" collapsed="false">
      <c r="D132" s="2" t="s">
        <v>68</v>
      </c>
      <c r="E132" s="37" t="n">
        <f aca="false">IF(E129="",0,VLOOKUP(E129,Especies_plantes,3,FALSE()))</f>
        <v>0</v>
      </c>
      <c r="F132" s="37" t="n">
        <f aca="false">IF(F129="",0,VLOOKUP(F129,Especies_plantes,3,FALSE()))</f>
        <v>0</v>
      </c>
    </row>
    <row r="133" customFormat="false" ht="13.8" hidden="false" customHeight="false" outlineLevel="0" collapsed="false">
      <c r="D133" s="2" t="s">
        <v>69</v>
      </c>
      <c r="E133" s="37" t="n">
        <f aca="false">IF(E129="",0,VLOOKUP(E129,Especies_plantes,4,FALSE()))</f>
        <v>0</v>
      </c>
      <c r="F133" s="37" t="n">
        <f aca="false">IF(F129="",0,VLOOKUP(F129,Especies_plantes,4,FALSE()))</f>
        <v>0</v>
      </c>
    </row>
    <row r="134" customFormat="false" ht="13.8" hidden="false" customHeight="false" outlineLevel="0" collapsed="false">
      <c r="D134" s="2" t="s">
        <v>70</v>
      </c>
      <c r="E134" s="37" t="n">
        <f aca="false">IF(E129="",0,VLOOKUP(E129,Especies_plantes,5,FALSE()))</f>
        <v>0</v>
      </c>
      <c r="F134" s="37" t="n">
        <f aca="false">IF(F129="",0,VLOOKUP(F129,Especies_plantes,5,FALSE()))</f>
        <v>0</v>
      </c>
    </row>
    <row r="135" customFormat="false" ht="13.8" hidden="false" customHeight="false" outlineLevel="0" collapsed="false">
      <c r="D135" s="2" t="s">
        <v>71</v>
      </c>
      <c r="E135" s="37" t="n">
        <f aca="false">IF(E129="",0,VLOOKUP(E129,Especies_plantes,6,FALSE()))</f>
        <v>0</v>
      </c>
      <c r="F135" s="37" t="n">
        <f aca="false">IF(F129="",0,VLOOKUP(F129,Especies_plantes,6,FALSE()))</f>
        <v>0</v>
      </c>
    </row>
    <row r="136" customFormat="false" ht="13.8" hidden="false" customHeight="false" outlineLevel="0" collapsed="false">
      <c r="E136" s="31" t="s">
        <v>72</v>
      </c>
      <c r="F136" s="31" t="s">
        <v>73</v>
      </c>
    </row>
    <row r="137" customFormat="false" ht="13.8" hidden="false" customHeight="false" outlineLevel="0" collapsed="false">
      <c r="D137" s="2" t="s">
        <v>65</v>
      </c>
      <c r="E137" s="36"/>
      <c r="F137" s="36"/>
    </row>
    <row r="138" customFormat="false" ht="13.8" hidden="false" customHeight="false" outlineLevel="0" collapsed="false">
      <c r="D138" s="2" t="s">
        <v>66</v>
      </c>
      <c r="E138" s="11"/>
      <c r="F138" s="11"/>
    </row>
    <row r="139" customFormat="false" ht="13.8" hidden="false" customHeight="false" outlineLevel="0" collapsed="false">
      <c r="D139" s="2" t="s">
        <v>67</v>
      </c>
      <c r="E139" s="37" t="n">
        <f aca="false">IF(E137="",0,VLOOKUP(E137,Especies_plantes,2,FALSE()))</f>
        <v>0</v>
      </c>
      <c r="F139" s="37" t="n">
        <f aca="false">IF(F137="",0,VLOOKUP(F137,Especies_plantes,2,FALSE()))</f>
        <v>0</v>
      </c>
    </row>
    <row r="140" customFormat="false" ht="13.8" hidden="false" customHeight="false" outlineLevel="0" collapsed="false">
      <c r="D140" s="2" t="s">
        <v>68</v>
      </c>
      <c r="E140" s="37" t="n">
        <f aca="false">IF(E137="",0,VLOOKUP(E137,Especies_plantes,3,FALSE()))</f>
        <v>0</v>
      </c>
      <c r="F140" s="37" t="n">
        <f aca="false">IF(F137="",0,VLOOKUP(F137,Especies_plantes,3,FALSE()))</f>
        <v>0</v>
      </c>
    </row>
    <row r="141" customFormat="false" ht="13.8" hidden="false" customHeight="false" outlineLevel="0" collapsed="false">
      <c r="D141" s="2" t="s">
        <v>69</v>
      </c>
      <c r="E141" s="37" t="n">
        <f aca="false">IF(E137="",0,VLOOKUP(E137,Especies_plantes,4,FALSE()))</f>
        <v>0</v>
      </c>
      <c r="F141" s="37" t="n">
        <f aca="false">IF(F137="",0,VLOOKUP(F137,Especies_plantes,4,FALSE()))</f>
        <v>0</v>
      </c>
    </row>
    <row r="142" customFormat="false" ht="13.8" hidden="false" customHeight="false" outlineLevel="0" collapsed="false">
      <c r="D142" s="2" t="s">
        <v>70</v>
      </c>
      <c r="E142" s="37" t="n">
        <f aca="false">IF(E137="",0,VLOOKUP(E137,Especies_plantes,5,FALSE()))</f>
        <v>0</v>
      </c>
      <c r="F142" s="37" t="n">
        <f aca="false">IF(F137="",0,VLOOKUP(F137,Especies_plantes,5,FALSE()))</f>
        <v>0</v>
      </c>
    </row>
    <row r="143" customFormat="false" ht="13.8" hidden="false" customHeight="false" outlineLevel="0" collapsed="false">
      <c r="D143" s="2" t="s">
        <v>71</v>
      </c>
      <c r="E143" s="37" t="n">
        <f aca="false">IF(E137="",0,VLOOKUP(E137,Especies_plantes,6,FALSE()))</f>
        <v>0</v>
      </c>
      <c r="F143" s="37" t="n">
        <f aca="false">IF(F137="",0,VLOOKUP(F137,Especies_plantes,6,FALSE()))</f>
        <v>0</v>
      </c>
    </row>
    <row r="146" customFormat="false" ht="13.8" hidden="false" customHeight="false" outlineLevel="0" collapsed="false">
      <c r="D146" s="14" t="s">
        <v>74</v>
      </c>
      <c r="E146" s="15" t="s">
        <v>75</v>
      </c>
      <c r="F146" s="15"/>
    </row>
    <row r="148" customFormat="false" ht="13.8" hidden="false" customHeight="false" outlineLevel="0" collapsed="false">
      <c r="E148" s="31" t="s">
        <v>76</v>
      </c>
      <c r="F148" s="31" t="s">
        <v>77</v>
      </c>
    </row>
    <row r="149" customFormat="false" ht="13.8" hidden="false" customHeight="false" outlineLevel="0" collapsed="false">
      <c r="E149" s="33" t="s">
        <v>78</v>
      </c>
      <c r="F149" s="12"/>
    </row>
    <row r="150" customFormat="false" ht="13.8" hidden="false" customHeight="false" outlineLevel="0" collapsed="false">
      <c r="E150" s="33" t="s">
        <v>79</v>
      </c>
      <c r="F150" s="12"/>
    </row>
    <row r="151" customFormat="false" ht="13.8" hidden="false" customHeight="false" outlineLevel="0" collapsed="false">
      <c r="E151" s="33" t="s">
        <v>31</v>
      </c>
      <c r="F151" s="12"/>
    </row>
    <row r="152" customFormat="false" ht="13.8" hidden="false" customHeight="false" outlineLevel="0" collapsed="false">
      <c r="E152" s="9"/>
      <c r="F152" s="9"/>
    </row>
    <row r="153" customFormat="false" ht="13.8" hidden="false" customHeight="false" outlineLevel="0" collapsed="false">
      <c r="E153" s="9"/>
      <c r="F153" s="9"/>
    </row>
    <row r="154" customFormat="false" ht="13.8" hidden="false" customHeight="false" outlineLevel="0" collapsed="false">
      <c r="D154" s="14" t="s">
        <v>80</v>
      </c>
      <c r="E154" s="15" t="s">
        <v>81</v>
      </c>
      <c r="F154" s="15"/>
    </row>
    <row r="156" customFormat="false" ht="13.8" hidden="false" customHeight="false" outlineLevel="0" collapsed="false">
      <c r="E156" s="31" t="s">
        <v>82</v>
      </c>
      <c r="F156" s="31" t="s">
        <v>77</v>
      </c>
    </row>
    <row r="157" customFormat="false" ht="13.8" hidden="false" customHeight="false" outlineLevel="0" collapsed="false">
      <c r="E157" s="11"/>
      <c r="F157" s="12"/>
    </row>
    <row r="158" customFormat="false" ht="13.8" hidden="false" customHeight="false" outlineLevel="0" collapsed="false">
      <c r="E158" s="11"/>
      <c r="F158" s="12"/>
    </row>
    <row r="159" customFormat="false" ht="13.8" hidden="false" customHeight="false" outlineLevel="0" collapsed="false">
      <c r="E159" s="11"/>
      <c r="F159" s="12"/>
    </row>
    <row r="162" customFormat="false" ht="13.8" hidden="false" customHeight="false" outlineLevel="0" collapsed="false">
      <c r="D162" s="14" t="s">
        <v>83</v>
      </c>
      <c r="E162" s="15" t="s">
        <v>84</v>
      </c>
      <c r="F162" s="15"/>
    </row>
    <row r="164" customFormat="false" ht="13.8" hidden="false" customHeight="false" outlineLevel="0" collapsed="false">
      <c r="E164" s="31" t="s">
        <v>85</v>
      </c>
      <c r="F164" s="31" t="s">
        <v>86</v>
      </c>
    </row>
    <row r="165" customFormat="false" ht="13.8" hidden="false" customHeight="false" outlineLevel="0" collapsed="false">
      <c r="E165" s="11"/>
      <c r="F165" s="12"/>
    </row>
    <row r="166" customFormat="false" ht="13.8" hidden="false" customHeight="false" outlineLevel="0" collapsed="false">
      <c r="E166" s="11"/>
      <c r="F166" s="12"/>
    </row>
    <row r="167" customFormat="false" ht="13.8" hidden="false" customHeight="false" outlineLevel="0" collapsed="false">
      <c r="E167" s="11"/>
      <c r="F167" s="12"/>
    </row>
    <row r="175" customFormat="false" ht="13.8" hidden="false" customHeight="false" outlineLevel="0" collapsed="false">
      <c r="F175" s="1"/>
    </row>
    <row r="176" customFormat="false" ht="13.8" hidden="false" customHeight="false" outlineLevel="0" collapsed="false">
      <c r="F176" s="1"/>
    </row>
    <row r="177" customFormat="false" ht="13.8" hidden="false" customHeight="false" outlineLevel="0" collapsed="false">
      <c r="F177" s="38" t="s">
        <v>87</v>
      </c>
    </row>
    <row r="178" customFormat="false" ht="13.8" hidden="false" customHeight="false" outlineLevel="0" collapsed="false">
      <c r="F178" s="38" t="s">
        <v>88</v>
      </c>
    </row>
    <row r="179" customFormat="false" ht="13.8" hidden="false" customHeight="false" outlineLevel="0" collapsed="false">
      <c r="F179" s="38" t="s">
        <v>89</v>
      </c>
    </row>
    <row r="180" customFormat="false" ht="13.8" hidden="false" customHeight="false" outlineLevel="0" collapsed="false">
      <c r="F180" s="38" t="s">
        <v>90</v>
      </c>
    </row>
    <row r="181" customFormat="false" ht="13.8" hidden="false" customHeight="false" outlineLevel="0" collapsed="false">
      <c r="F181" s="1"/>
    </row>
    <row r="182" customFormat="false" ht="13.8" hidden="false" customHeight="false" outlineLevel="0" collapsed="false">
      <c r="F182" s="1"/>
    </row>
  </sheetData>
  <sheetProtection sheet="true" password="e929" objects="true" scenarios="true"/>
  <mergeCells count="31">
    <mergeCell ref="D2:F2"/>
    <mergeCell ref="E14:F14"/>
    <mergeCell ref="E23:F23"/>
    <mergeCell ref="D29:F29"/>
    <mergeCell ref="E32:F32"/>
    <mergeCell ref="E34:F34"/>
    <mergeCell ref="D38:D43"/>
    <mergeCell ref="D45:D46"/>
    <mergeCell ref="E49:F49"/>
    <mergeCell ref="E51:F51"/>
    <mergeCell ref="D55:D60"/>
    <mergeCell ref="D62:D63"/>
    <mergeCell ref="E66:F66"/>
    <mergeCell ref="E68:F68"/>
    <mergeCell ref="D72:D77"/>
    <mergeCell ref="D79:D80"/>
    <mergeCell ref="E83:F83"/>
    <mergeCell ref="E85:F85"/>
    <mergeCell ref="D89:D94"/>
    <mergeCell ref="D96:D97"/>
    <mergeCell ref="E100:F100"/>
    <mergeCell ref="E102:F102"/>
    <mergeCell ref="D106:F106"/>
    <mergeCell ref="E109:F109"/>
    <mergeCell ref="E115:F115"/>
    <mergeCell ref="E117:F117"/>
    <mergeCell ref="E123:F123"/>
    <mergeCell ref="E127:F127"/>
    <mergeCell ref="E146:F146"/>
    <mergeCell ref="E154:F154"/>
    <mergeCell ref="E162:F162"/>
  </mergeCells>
  <dataValidations count="5">
    <dataValidation allowBlank="true" operator="equal" showDropDown="false" showErrorMessage="true" showInputMessage="false" sqref="F17:F20" type="none">
      <formula1>0</formula1>
      <formula2>0</formula2>
    </dataValidation>
    <dataValidation allowBlank="true" operator="equal" showDropDown="false" showErrorMessage="true" showInputMessage="false" sqref="E17:E20" type="list">
      <formula1>'Canvi d''us sol'!$B$4:$B$24</formula1>
      <formula2>0</formula2>
    </dataValidation>
    <dataValidation allowBlank="true" operator="equal" showDropDown="false" showErrorMessage="true" showInputMessage="false" sqref="E129:F129 E137:F137" type="list">
      <formula1>'Abs. estimades per especie'!$B$3:$B$87</formula1>
      <formula2>0</formula2>
    </dataValidation>
    <dataValidation allowBlank="true" operator="equal" showDropDown="false" showErrorMessage="true" showInputMessage="false" sqref="F5" type="list">
      <formula1>Municipis!$B$3:$B$69</formula1>
      <formula2>0</formula2>
    </dataValidation>
    <dataValidation allowBlank="true" operator="equal" showDropDown="false" showErrorMessage="true" showInputMessage="false" sqref="F6" type="list">
      <formula1>'Mix electric i reduccio residus'!$B$18:$B$98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Q2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19" activeCellId="0" sqref="H19"/>
    </sheetView>
  </sheetViews>
  <sheetFormatPr defaultRowHeight="14.4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26.44"/>
    <col collapsed="false" customWidth="true" hidden="false" outlineLevel="0" max="3" min="3" style="1" width="22.89"/>
    <col collapsed="false" customWidth="true" hidden="false" outlineLevel="0" max="7" min="4" style="1" width="8.67"/>
    <col collapsed="false" customWidth="true" hidden="false" outlineLevel="0" max="8" min="8" style="1" width="22.01"/>
    <col collapsed="false" customWidth="true" hidden="false" outlineLevel="0" max="9" min="9" style="1" width="35.56"/>
    <col collapsed="false" customWidth="true" hidden="false" outlineLevel="0" max="10" min="10" style="1" width="22.55"/>
    <col collapsed="false" customWidth="true" hidden="false" outlineLevel="0" max="11" min="11" style="1" width="25.33"/>
    <col collapsed="false" customWidth="true" hidden="false" outlineLevel="0" max="1025" min="12" style="1" width="8.67"/>
  </cols>
  <sheetData>
    <row r="2" customFormat="false" ht="14.4" hidden="false" customHeight="false" outlineLevel="0" collapsed="false">
      <c r="B2" s="91"/>
      <c r="C2" s="293" t="s">
        <v>404</v>
      </c>
    </row>
    <row r="3" customFormat="false" ht="14.4" hidden="false" customHeight="false" outlineLevel="0" collapsed="false">
      <c r="B3" s="24"/>
      <c r="C3" s="24"/>
    </row>
    <row r="4" customFormat="false" ht="14.4" hidden="false" customHeight="false" outlineLevel="0" collapsed="false">
      <c r="B4" s="294" t="s">
        <v>405</v>
      </c>
      <c r="C4" s="293" t="n">
        <v>18.66</v>
      </c>
      <c r="H4" s="295" t="s">
        <v>406</v>
      </c>
      <c r="I4" s="295" t="s">
        <v>407</v>
      </c>
      <c r="J4" s="295" t="s">
        <v>408</v>
      </c>
      <c r="K4" s="295" t="s">
        <v>409</v>
      </c>
      <c r="L4" s="296"/>
      <c r="M4" s="297"/>
      <c r="N4" s="297"/>
      <c r="O4" s="297"/>
      <c r="P4" s="297"/>
      <c r="Q4" s="91"/>
    </row>
    <row r="5" customFormat="false" ht="14.4" hidden="false" customHeight="false" outlineLevel="0" collapsed="false">
      <c r="B5" s="294" t="s">
        <v>410</v>
      </c>
      <c r="C5" s="293" t="n">
        <v>19.24</v>
      </c>
      <c r="H5" s="298" t="s">
        <v>411</v>
      </c>
      <c r="I5" s="299" t="n">
        <f aca="false">0.08*1000</f>
        <v>80</v>
      </c>
      <c r="J5" s="299" t="n">
        <f aca="false">356.82/10000</f>
        <v>0.035682</v>
      </c>
      <c r="K5" s="299" t="n">
        <f aca="false">I5*J5</f>
        <v>2.85456</v>
      </c>
      <c r="L5" s="296"/>
      <c r="M5" s="300" t="s">
        <v>412</v>
      </c>
      <c r="N5" s="296"/>
      <c r="O5" s="296"/>
      <c r="P5" s="296"/>
      <c r="Q5" s="91"/>
    </row>
    <row r="6" customFormat="false" ht="14.4" hidden="false" customHeight="false" outlineLevel="0" collapsed="false">
      <c r="B6" s="294" t="s">
        <v>413</v>
      </c>
      <c r="C6" s="293" t="n">
        <v>36.75</v>
      </c>
      <c r="H6" s="300" t="s">
        <v>414</v>
      </c>
      <c r="I6" s="300" t="n">
        <f aca="false">P6</f>
        <v>112.5</v>
      </c>
      <c r="J6" s="299" t="n">
        <f aca="false">231.02/10000</f>
        <v>0.023102</v>
      </c>
      <c r="K6" s="299" t="n">
        <f aca="false">I6*J6</f>
        <v>2.598975</v>
      </c>
      <c r="L6" s="296"/>
      <c r="M6" s="298" t="s">
        <v>415</v>
      </c>
      <c r="N6" s="298" t="n">
        <f aca="false">0.08*1000</f>
        <v>80</v>
      </c>
      <c r="O6" s="298" t="n">
        <v>0.75</v>
      </c>
      <c r="P6" s="301" t="n">
        <f aca="false">(N6*O6)+N7*O7</f>
        <v>112.5</v>
      </c>
      <c r="Q6" s="91"/>
    </row>
    <row r="7" customFormat="false" ht="14.4" hidden="false" customHeight="false" outlineLevel="0" collapsed="false">
      <c r="B7" s="294" t="s">
        <v>416</v>
      </c>
      <c r="C7" s="293" t="n">
        <v>13.45</v>
      </c>
      <c r="H7" s="298" t="s">
        <v>417</v>
      </c>
      <c r="I7" s="299" t="n">
        <f aca="false">0.07*1000</f>
        <v>70</v>
      </c>
      <c r="J7" s="299" t="n">
        <f aca="false">763.04/10000</f>
        <v>0.076304</v>
      </c>
      <c r="K7" s="299" t="n">
        <f aca="false">I7*J7</f>
        <v>5.34128</v>
      </c>
      <c r="L7" s="296"/>
      <c r="M7" s="298" t="s">
        <v>418</v>
      </c>
      <c r="N7" s="298" t="n">
        <f aca="false">0.21*1000</f>
        <v>210</v>
      </c>
      <c r="O7" s="298" t="n">
        <v>0.25</v>
      </c>
      <c r="P7" s="301"/>
      <c r="Q7" s="91"/>
    </row>
    <row r="8" customFormat="false" ht="14.4" hidden="false" customHeight="false" outlineLevel="0" collapsed="false">
      <c r="B8" s="294" t="s">
        <v>419</v>
      </c>
      <c r="C8" s="293" t="n">
        <v>4.5</v>
      </c>
      <c r="H8" s="298" t="s">
        <v>420</v>
      </c>
      <c r="I8" s="299" t="n">
        <f aca="false">0.03*1000</f>
        <v>30</v>
      </c>
      <c r="J8" s="299" t="n">
        <f aca="false">100.43/10000</f>
        <v>0.010043</v>
      </c>
      <c r="K8" s="299" t="n">
        <f aca="false">I8*J8</f>
        <v>0.30129</v>
      </c>
      <c r="L8" s="296"/>
      <c r="M8" s="296"/>
      <c r="N8" s="296"/>
      <c r="O8" s="296"/>
      <c r="P8" s="296"/>
      <c r="Q8" s="91"/>
    </row>
    <row r="9" customFormat="false" ht="14.4" hidden="false" customHeight="false" outlineLevel="0" collapsed="false">
      <c r="B9" s="294" t="s">
        <v>421</v>
      </c>
      <c r="C9" s="293" t="n">
        <v>6.59</v>
      </c>
      <c r="H9" s="91"/>
      <c r="I9" s="91"/>
      <c r="J9" s="91"/>
      <c r="K9" s="91"/>
      <c r="L9" s="91"/>
      <c r="M9" s="91"/>
      <c r="N9" s="91"/>
      <c r="O9" s="91"/>
      <c r="P9" s="91"/>
      <c r="Q9" s="91"/>
    </row>
    <row r="10" customFormat="false" ht="14.4" hidden="false" customHeight="false" outlineLevel="0" collapsed="false">
      <c r="B10" s="294" t="s">
        <v>422</v>
      </c>
      <c r="C10" s="293" t="n">
        <v>20.12</v>
      </c>
    </row>
    <row r="11" customFormat="false" ht="14.4" hidden="false" customHeight="false" outlineLevel="0" collapsed="false">
      <c r="B11" s="294" t="s">
        <v>423</v>
      </c>
      <c r="C11" s="293" t="n">
        <v>8.82</v>
      </c>
    </row>
    <row r="12" customFormat="false" ht="14.4" hidden="false" customHeight="false" outlineLevel="0" collapsed="false">
      <c r="B12" s="294" t="s">
        <v>424</v>
      </c>
      <c r="C12" s="293" t="n">
        <v>5.94</v>
      </c>
    </row>
    <row r="13" customFormat="false" ht="14.4" hidden="false" customHeight="false" outlineLevel="0" collapsed="false">
      <c r="B13" s="294" t="s">
        <v>425</v>
      </c>
      <c r="C13" s="293" t="n">
        <v>19.11</v>
      </c>
    </row>
    <row r="14" customFormat="false" ht="14.4" hidden="false" customHeight="false" outlineLevel="0" collapsed="false">
      <c r="B14" s="294" t="s">
        <v>426</v>
      </c>
      <c r="C14" s="293" t="n">
        <v>6.26</v>
      </c>
    </row>
    <row r="15" customFormat="false" ht="14.4" hidden="false" customHeight="false" outlineLevel="0" collapsed="false">
      <c r="B15" s="294" t="s">
        <v>427</v>
      </c>
      <c r="C15" s="293" t="n">
        <v>21.92</v>
      </c>
    </row>
    <row r="16" customFormat="false" ht="14.4" hidden="false" customHeight="false" outlineLevel="0" collapsed="false">
      <c r="B16" s="294" t="s">
        <v>428</v>
      </c>
      <c r="C16" s="293" t="n">
        <v>6.3</v>
      </c>
    </row>
    <row r="17" customFormat="false" ht="14.4" hidden="false" customHeight="false" outlineLevel="0" collapsed="false">
      <c r="B17" s="294" t="s">
        <v>429</v>
      </c>
      <c r="C17" s="293" t="n">
        <v>12.58</v>
      </c>
    </row>
    <row r="18" customFormat="false" ht="14.4" hidden="false" customHeight="false" outlineLevel="0" collapsed="false">
      <c r="B18" s="294" t="s">
        <v>430</v>
      </c>
      <c r="C18" s="293" t="n">
        <v>31.26</v>
      </c>
    </row>
    <row r="19" customFormat="false" ht="14.4" hidden="false" customHeight="false" outlineLevel="0" collapsed="false">
      <c r="B19" s="294" t="s">
        <v>431</v>
      </c>
      <c r="C19" s="293" t="n">
        <v>6.28</v>
      </c>
    </row>
    <row r="20" customFormat="false" ht="14.4" hidden="false" customHeight="false" outlineLevel="0" collapsed="false">
      <c r="B20" s="294" t="s">
        <v>432</v>
      </c>
      <c r="C20" s="293" t="n">
        <v>6.33</v>
      </c>
    </row>
    <row r="21" customFormat="false" ht="14.4" hidden="false" customHeight="false" outlineLevel="0" collapsed="false">
      <c r="B21" s="294" t="s">
        <v>411</v>
      </c>
      <c r="C21" s="302" t="n">
        <f aca="false">K5*10</f>
        <v>28.5456</v>
      </c>
    </row>
    <row r="22" customFormat="false" ht="14.4" hidden="false" customHeight="false" outlineLevel="0" collapsed="false">
      <c r="B22" s="294" t="s">
        <v>414</v>
      </c>
      <c r="C22" s="302" t="n">
        <f aca="false">K6*10</f>
        <v>25.98975</v>
      </c>
    </row>
    <row r="23" customFormat="false" ht="14.4" hidden="false" customHeight="false" outlineLevel="0" collapsed="false">
      <c r="B23" s="294" t="s">
        <v>417</v>
      </c>
      <c r="C23" s="302" t="n">
        <f aca="false">K7*10</f>
        <v>53.4128</v>
      </c>
    </row>
    <row r="24" customFormat="false" ht="14.4" hidden="false" customHeight="false" outlineLevel="0" collapsed="false">
      <c r="B24" s="294" t="s">
        <v>420</v>
      </c>
      <c r="C24" s="302" t="n">
        <f aca="false">K8*10</f>
        <v>3.0129</v>
      </c>
    </row>
  </sheetData>
  <sheetProtection sheet="true" password="e929" objects="true" scenarios="true"/>
  <mergeCells count="1">
    <mergeCell ref="P6:P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2" activeCellId="0" sqref="I2"/>
    </sheetView>
  </sheetViews>
  <sheetFormatPr defaultRowHeight="14.4" zeroHeight="false" outlineLevelRow="0" outlineLevelCol="0"/>
  <cols>
    <col collapsed="false" customWidth="true" hidden="false" outlineLevel="0" max="1" min="1" style="1" width="3.45"/>
    <col collapsed="false" customWidth="true" hidden="false" outlineLevel="0" max="2" min="2" style="1" width="38.1"/>
    <col collapsed="false" customWidth="true" hidden="false" outlineLevel="0" max="3" min="3" style="1" width="11.33"/>
    <col collapsed="false" customWidth="true" hidden="false" outlineLevel="0" max="4" min="4" style="1" width="9.56"/>
    <col collapsed="false" customWidth="true" hidden="false" outlineLevel="0" max="5" min="5" style="1" width="10.12"/>
    <col collapsed="false" customWidth="true" hidden="false" outlineLevel="0" max="6" min="6" style="1" width="9.33"/>
    <col collapsed="false" customWidth="true" hidden="false" outlineLevel="0" max="7" min="7" style="1" width="9.66"/>
    <col collapsed="false" customWidth="true" hidden="false" outlineLevel="0" max="8" min="8" style="1" width="8.67"/>
    <col collapsed="false" customWidth="true" hidden="false" outlineLevel="0" max="9" min="9" style="1" width="38.56"/>
    <col collapsed="false" customWidth="true" hidden="false" outlineLevel="0" max="1025" min="10" style="1" width="8.67"/>
  </cols>
  <sheetData>
    <row r="1" customFormat="false" ht="14.4" hidden="false" customHeight="false" outlineLevel="0" collapsed="false">
      <c r="B1" s="303"/>
      <c r="C1" s="167"/>
      <c r="D1" s="167"/>
      <c r="E1" s="167"/>
      <c r="F1" s="167"/>
      <c r="G1" s="167"/>
      <c r="H1" s="167"/>
    </row>
    <row r="2" customFormat="false" ht="14.4" hidden="false" customHeight="false" outlineLevel="0" collapsed="false">
      <c r="B2" s="304" t="s">
        <v>433</v>
      </c>
      <c r="C2" s="287" t="s">
        <v>67</v>
      </c>
      <c r="D2" s="287" t="s">
        <v>68</v>
      </c>
      <c r="E2" s="287" t="s">
        <v>69</v>
      </c>
      <c r="F2" s="287" t="s">
        <v>70</v>
      </c>
      <c r="G2" s="287" t="s">
        <v>71</v>
      </c>
      <c r="H2" s="167"/>
    </row>
    <row r="3" customFormat="false" ht="14.4" hidden="false" customHeight="false" outlineLevel="0" collapsed="false">
      <c r="C3" s="167"/>
      <c r="D3" s="167"/>
      <c r="E3" s="167"/>
      <c r="F3" s="167"/>
      <c r="G3" s="167"/>
    </row>
    <row r="4" customFormat="false" ht="15.75" hidden="false" customHeight="true" outlineLevel="0" collapsed="false">
      <c r="B4" s="305" t="s">
        <v>434</v>
      </c>
      <c r="C4" s="287" t="n">
        <v>0.06</v>
      </c>
      <c r="D4" s="287" t="n">
        <v>0.08</v>
      </c>
      <c r="E4" s="287" t="n">
        <v>0.1</v>
      </c>
      <c r="F4" s="287" t="n">
        <v>0.11</v>
      </c>
      <c r="G4" s="287" t="n">
        <v>0.13</v>
      </c>
      <c r="I4" s="35"/>
    </row>
    <row r="5" customFormat="false" ht="14.4" hidden="false" customHeight="false" outlineLevel="0" collapsed="false">
      <c r="B5" s="305" t="s">
        <v>435</v>
      </c>
      <c r="C5" s="287" t="n">
        <v>0.22</v>
      </c>
      <c r="D5" s="287" t="n">
        <v>0.27</v>
      </c>
      <c r="E5" s="287" t="n">
        <v>0.33</v>
      </c>
      <c r="F5" s="287" t="n">
        <v>0.38</v>
      </c>
      <c r="G5" s="287" t="n">
        <v>0.44</v>
      </c>
      <c r="I5" s="35"/>
    </row>
    <row r="6" customFormat="false" ht="14.4" hidden="false" customHeight="false" outlineLevel="0" collapsed="false">
      <c r="B6" s="305" t="s">
        <v>436</v>
      </c>
      <c r="C6" s="287" t="n">
        <v>0.03</v>
      </c>
      <c r="D6" s="287" t="n">
        <v>0.04</v>
      </c>
      <c r="E6" s="287" t="n">
        <v>0.05</v>
      </c>
      <c r="F6" s="287" t="n">
        <v>0.05</v>
      </c>
      <c r="G6" s="287" t="n">
        <v>0.06</v>
      </c>
      <c r="I6" s="35"/>
    </row>
    <row r="7" customFormat="false" ht="14.4" hidden="false" customHeight="false" outlineLevel="0" collapsed="false">
      <c r="B7" s="305" t="s">
        <v>437</v>
      </c>
      <c r="C7" s="287" t="n">
        <v>0.15</v>
      </c>
      <c r="D7" s="287" t="n">
        <v>0.19</v>
      </c>
      <c r="E7" s="287" t="n">
        <v>0.22</v>
      </c>
      <c r="F7" s="287" t="n">
        <v>0.26</v>
      </c>
      <c r="G7" s="287" t="n">
        <v>0.3</v>
      </c>
    </row>
    <row r="8" customFormat="false" ht="14.4" hidden="false" customHeight="false" outlineLevel="0" collapsed="false">
      <c r="B8" s="305" t="s">
        <v>438</v>
      </c>
      <c r="C8" s="287" t="n">
        <v>0.03</v>
      </c>
      <c r="D8" s="287" t="n">
        <v>0.04</v>
      </c>
      <c r="E8" s="287" t="n">
        <v>0.05</v>
      </c>
      <c r="F8" s="287" t="n">
        <v>0.05</v>
      </c>
      <c r="G8" s="287" t="n">
        <v>0.06</v>
      </c>
    </row>
    <row r="9" customFormat="false" ht="14.4" hidden="false" customHeight="false" outlineLevel="0" collapsed="false">
      <c r="B9" s="305" t="s">
        <v>439</v>
      </c>
      <c r="C9" s="287" t="n">
        <v>0.05</v>
      </c>
      <c r="D9" s="287" t="n">
        <v>0.1</v>
      </c>
      <c r="E9" s="287" t="n">
        <v>0.16</v>
      </c>
      <c r="F9" s="287" t="n">
        <v>0.24</v>
      </c>
      <c r="G9" s="287" t="n">
        <v>0.32</v>
      </c>
    </row>
    <row r="10" customFormat="false" ht="14.4" hidden="false" customHeight="false" outlineLevel="0" collapsed="false">
      <c r="B10" s="305" t="s">
        <v>440</v>
      </c>
      <c r="C10" s="287" t="n">
        <v>0.04</v>
      </c>
      <c r="D10" s="287" t="n">
        <v>0.11</v>
      </c>
      <c r="E10" s="287" t="n">
        <v>0.21</v>
      </c>
      <c r="F10" s="287" t="n">
        <v>0.35</v>
      </c>
      <c r="G10" s="287" t="n">
        <v>0.4</v>
      </c>
    </row>
    <row r="11" customFormat="false" ht="14.4" hidden="false" customHeight="false" outlineLevel="0" collapsed="false">
      <c r="B11" s="305" t="s">
        <v>441</v>
      </c>
      <c r="C11" s="287" t="n">
        <v>0.06</v>
      </c>
      <c r="D11" s="287" t="n">
        <v>0.07</v>
      </c>
      <c r="E11" s="287" t="n">
        <v>0.09</v>
      </c>
      <c r="F11" s="287" t="n">
        <v>0.1</v>
      </c>
      <c r="G11" s="287" t="n">
        <v>0.12</v>
      </c>
    </row>
    <row r="12" customFormat="false" ht="14.4" hidden="false" customHeight="false" outlineLevel="0" collapsed="false">
      <c r="B12" s="305" t="s">
        <v>442</v>
      </c>
      <c r="C12" s="287" t="n">
        <v>0.06</v>
      </c>
      <c r="D12" s="287" t="n">
        <v>0.08</v>
      </c>
      <c r="E12" s="287" t="n">
        <v>0.09</v>
      </c>
      <c r="F12" s="287" t="n">
        <v>0.11</v>
      </c>
      <c r="G12" s="287" t="n">
        <v>0.12</v>
      </c>
    </row>
    <row r="13" customFormat="false" ht="14.4" hidden="false" customHeight="false" outlineLevel="0" collapsed="false">
      <c r="B13" s="305" t="s">
        <v>443</v>
      </c>
      <c r="C13" s="287" t="n">
        <v>0.06</v>
      </c>
      <c r="D13" s="287" t="n">
        <v>0.08</v>
      </c>
      <c r="E13" s="287" t="n">
        <v>0.09</v>
      </c>
      <c r="F13" s="287" t="n">
        <v>0.11</v>
      </c>
      <c r="G13" s="287" t="n">
        <v>0.12</v>
      </c>
    </row>
    <row r="14" customFormat="false" ht="14.4" hidden="false" customHeight="false" outlineLevel="0" collapsed="false">
      <c r="B14" s="305" t="s">
        <v>444</v>
      </c>
      <c r="C14" s="287" t="n">
        <v>0.12</v>
      </c>
      <c r="D14" s="287" t="n">
        <v>0.16</v>
      </c>
      <c r="E14" s="287" t="n">
        <v>0.19</v>
      </c>
      <c r="F14" s="287" t="n">
        <v>0.22</v>
      </c>
      <c r="G14" s="287" t="n">
        <v>0.25</v>
      </c>
    </row>
    <row r="15" customFormat="false" ht="14.4" hidden="false" customHeight="false" outlineLevel="0" collapsed="false">
      <c r="B15" s="305" t="s">
        <v>445</v>
      </c>
      <c r="C15" s="287" t="n">
        <v>0.06</v>
      </c>
      <c r="D15" s="287" t="n">
        <v>0.08</v>
      </c>
      <c r="E15" s="287" t="n">
        <v>0.09</v>
      </c>
      <c r="F15" s="287" t="n">
        <v>0.11</v>
      </c>
      <c r="G15" s="287" t="n">
        <v>0.12</v>
      </c>
    </row>
    <row r="16" customFormat="false" ht="14.4" hidden="false" customHeight="false" outlineLevel="0" collapsed="false">
      <c r="B16" s="305" t="s">
        <v>446</v>
      </c>
      <c r="C16" s="287" t="n">
        <v>0.35</v>
      </c>
      <c r="D16" s="287" t="n">
        <v>0.63</v>
      </c>
      <c r="E16" s="287" t="n">
        <v>1.3</v>
      </c>
      <c r="F16" s="287" t="n">
        <v>2.88</v>
      </c>
      <c r="G16" s="287" t="n">
        <v>3.4</v>
      </c>
    </row>
    <row r="17" customFormat="false" ht="14.4" hidden="false" customHeight="false" outlineLevel="0" collapsed="false">
      <c r="B17" s="305" t="s">
        <v>447</v>
      </c>
      <c r="C17" s="287" t="n">
        <v>0.29</v>
      </c>
      <c r="D17" s="287" t="n">
        <v>0.72</v>
      </c>
      <c r="E17" s="287" t="n">
        <v>1.01</v>
      </c>
      <c r="F17" s="287" t="n">
        <v>1.44</v>
      </c>
      <c r="G17" s="287" t="n">
        <v>1.9</v>
      </c>
    </row>
    <row r="18" customFormat="false" ht="14.4" hidden="false" customHeight="false" outlineLevel="0" collapsed="false">
      <c r="B18" s="305" t="s">
        <v>448</v>
      </c>
      <c r="C18" s="287" t="n">
        <v>0.01</v>
      </c>
      <c r="D18" s="287" t="n">
        <v>0.01</v>
      </c>
      <c r="E18" s="287" t="n">
        <v>0.01</v>
      </c>
      <c r="F18" s="287" t="n">
        <v>0.01</v>
      </c>
      <c r="G18" s="287" t="n">
        <v>0.01</v>
      </c>
    </row>
    <row r="19" customFormat="false" ht="14.4" hidden="false" customHeight="false" outlineLevel="0" collapsed="false">
      <c r="B19" s="305" t="s">
        <v>449</v>
      </c>
      <c r="C19" s="287" t="n">
        <v>0.04</v>
      </c>
      <c r="D19" s="287" t="n">
        <v>0.11</v>
      </c>
      <c r="E19" s="287" t="n">
        <v>0.21</v>
      </c>
      <c r="F19" s="287" t="n">
        <v>0.35</v>
      </c>
      <c r="G19" s="287" t="n">
        <v>0.4</v>
      </c>
    </row>
    <row r="20" customFormat="false" ht="14.4" hidden="false" customHeight="false" outlineLevel="0" collapsed="false">
      <c r="B20" s="305" t="s">
        <v>450</v>
      </c>
      <c r="C20" s="287" t="n">
        <v>0.08</v>
      </c>
      <c r="D20" s="287" t="n">
        <v>0.1</v>
      </c>
      <c r="E20" s="287" t="n">
        <v>0.12</v>
      </c>
      <c r="F20" s="287" t="n">
        <v>0.14</v>
      </c>
      <c r="G20" s="287" t="n">
        <v>0.16</v>
      </c>
    </row>
    <row r="21" customFormat="false" ht="14.4" hidden="false" customHeight="false" outlineLevel="0" collapsed="false">
      <c r="B21" s="305" t="s">
        <v>451</v>
      </c>
      <c r="C21" s="287" t="n">
        <v>0.04</v>
      </c>
      <c r="D21" s="287" t="n">
        <v>0.11</v>
      </c>
      <c r="E21" s="287" t="n">
        <v>0.21</v>
      </c>
      <c r="F21" s="287" t="n">
        <v>0.35</v>
      </c>
      <c r="G21" s="287" t="n">
        <v>0.4</v>
      </c>
    </row>
    <row r="22" customFormat="false" ht="14.4" hidden="false" customHeight="false" outlineLevel="0" collapsed="false">
      <c r="B22" s="305" t="s">
        <v>452</v>
      </c>
      <c r="C22" s="287" t="n">
        <v>0.03</v>
      </c>
      <c r="D22" s="287" t="n">
        <v>0.05</v>
      </c>
      <c r="E22" s="287" t="n">
        <v>0.06</v>
      </c>
      <c r="F22" s="287" t="n">
        <v>0.12</v>
      </c>
      <c r="G22" s="287" t="n">
        <v>0.15</v>
      </c>
    </row>
    <row r="23" customFormat="false" ht="14.4" hidden="false" customHeight="false" outlineLevel="0" collapsed="false">
      <c r="B23" s="305" t="s">
        <v>453</v>
      </c>
      <c r="C23" s="287" t="n">
        <v>0.03</v>
      </c>
      <c r="D23" s="287" t="n">
        <v>0.05</v>
      </c>
      <c r="E23" s="287" t="n">
        <v>0.06</v>
      </c>
      <c r="F23" s="287" t="n">
        <v>0.12</v>
      </c>
      <c r="G23" s="287" t="n">
        <v>0.15</v>
      </c>
    </row>
    <row r="24" customFormat="false" ht="14.4" hidden="false" customHeight="false" outlineLevel="0" collapsed="false">
      <c r="B24" s="305" t="s">
        <v>454</v>
      </c>
      <c r="C24" s="287" t="n">
        <v>0.03</v>
      </c>
      <c r="D24" s="287" t="n">
        <v>0.05</v>
      </c>
      <c r="E24" s="287" t="n">
        <v>0.06</v>
      </c>
      <c r="F24" s="287" t="n">
        <v>0.12</v>
      </c>
      <c r="G24" s="287" t="n">
        <v>0.15</v>
      </c>
    </row>
    <row r="25" customFormat="false" ht="14.4" hidden="false" customHeight="false" outlineLevel="0" collapsed="false">
      <c r="B25" s="305" t="s">
        <v>455</v>
      </c>
      <c r="C25" s="287" t="n">
        <v>0.04</v>
      </c>
      <c r="D25" s="287" t="n">
        <v>0.11</v>
      </c>
      <c r="E25" s="287" t="n">
        <v>0.21</v>
      </c>
      <c r="F25" s="287" t="n">
        <v>0.35</v>
      </c>
      <c r="G25" s="287" t="n">
        <v>0.4</v>
      </c>
    </row>
    <row r="26" customFormat="false" ht="14.4" hidden="false" customHeight="false" outlineLevel="0" collapsed="false">
      <c r="B26" s="305" t="s">
        <v>456</v>
      </c>
      <c r="C26" s="287" t="n">
        <v>0.4</v>
      </c>
      <c r="D26" s="287" t="n">
        <v>1</v>
      </c>
      <c r="E26" s="287" t="n">
        <v>1.57</v>
      </c>
      <c r="F26" s="287" t="n">
        <v>2.23</v>
      </c>
      <c r="G26" s="287" t="n">
        <v>3.53</v>
      </c>
    </row>
    <row r="27" customFormat="false" ht="14.4" hidden="false" customHeight="false" outlineLevel="0" collapsed="false">
      <c r="B27" s="305" t="s">
        <v>457</v>
      </c>
      <c r="C27" s="287" t="n">
        <v>0.57</v>
      </c>
      <c r="D27" s="287" t="n">
        <v>1.39</v>
      </c>
      <c r="E27" s="287" t="n">
        <v>2.04</v>
      </c>
      <c r="F27" s="287" t="n">
        <v>3</v>
      </c>
      <c r="G27" s="287" t="n">
        <v>4.87</v>
      </c>
    </row>
    <row r="28" customFormat="false" ht="14.4" hidden="false" customHeight="false" outlineLevel="0" collapsed="false">
      <c r="B28" s="305" t="s">
        <v>458</v>
      </c>
      <c r="C28" s="287" t="n">
        <v>0</v>
      </c>
      <c r="D28" s="287" t="n">
        <v>0.02</v>
      </c>
      <c r="E28" s="287" t="n">
        <v>0.03</v>
      </c>
      <c r="F28" s="287" t="n">
        <v>0.07</v>
      </c>
      <c r="G28" s="287" t="n">
        <v>0.23</v>
      </c>
    </row>
    <row r="29" customFormat="false" ht="14.4" hidden="false" customHeight="false" outlineLevel="0" collapsed="false">
      <c r="B29" s="305" t="s">
        <v>459</v>
      </c>
      <c r="C29" s="287" t="n">
        <v>0.09</v>
      </c>
      <c r="D29" s="287" t="n">
        <v>0.11</v>
      </c>
      <c r="E29" s="287" t="n">
        <v>0.18</v>
      </c>
      <c r="F29" s="287" t="n">
        <v>0.29</v>
      </c>
      <c r="G29" s="287" t="n">
        <v>0.33</v>
      </c>
    </row>
    <row r="30" customFormat="false" ht="14.4" hidden="false" customHeight="false" outlineLevel="0" collapsed="false">
      <c r="B30" s="305" t="s">
        <v>460</v>
      </c>
      <c r="C30" s="287" t="n">
        <v>0.03</v>
      </c>
      <c r="D30" s="287" t="n">
        <v>0.04</v>
      </c>
      <c r="E30" s="287" t="n">
        <v>0.05</v>
      </c>
      <c r="F30" s="287" t="n">
        <v>0.08</v>
      </c>
      <c r="G30" s="287" t="n">
        <v>0.1</v>
      </c>
    </row>
    <row r="31" customFormat="false" ht="14.4" hidden="false" customHeight="false" outlineLevel="0" collapsed="false">
      <c r="B31" s="305" t="s">
        <v>461</v>
      </c>
      <c r="C31" s="287" t="n">
        <v>0.04</v>
      </c>
      <c r="D31" s="287" t="n">
        <v>0.04</v>
      </c>
      <c r="E31" s="287" t="n">
        <v>0.05</v>
      </c>
      <c r="F31" s="287" t="n">
        <v>0.12</v>
      </c>
      <c r="G31" s="287" t="n">
        <v>0.14</v>
      </c>
    </row>
    <row r="32" customFormat="false" ht="14.4" hidden="false" customHeight="false" outlineLevel="0" collapsed="false">
      <c r="B32" s="305" t="s">
        <v>462</v>
      </c>
      <c r="C32" s="287" t="n">
        <v>0.12</v>
      </c>
      <c r="D32" s="287" t="n">
        <v>0.16</v>
      </c>
      <c r="E32" s="287" t="n">
        <v>0.19</v>
      </c>
      <c r="F32" s="287" t="n">
        <v>0.22</v>
      </c>
      <c r="G32" s="287" t="n">
        <v>0.25</v>
      </c>
    </row>
    <row r="33" customFormat="false" ht="14.4" hidden="false" customHeight="false" outlineLevel="0" collapsed="false">
      <c r="B33" s="305" t="s">
        <v>463</v>
      </c>
      <c r="C33" s="287" t="n">
        <v>0.01</v>
      </c>
      <c r="D33" s="287" t="n">
        <v>0.01</v>
      </c>
      <c r="E33" s="287" t="n">
        <v>0.02</v>
      </c>
      <c r="F33" s="287" t="n">
        <v>0.02</v>
      </c>
      <c r="G33" s="287" t="n">
        <v>0.02</v>
      </c>
    </row>
    <row r="34" customFormat="false" ht="14.4" hidden="false" customHeight="false" outlineLevel="0" collapsed="false">
      <c r="B34" s="305" t="s">
        <v>464</v>
      </c>
      <c r="C34" s="287" t="n">
        <v>0.02</v>
      </c>
      <c r="D34" s="287" t="n">
        <v>0.02</v>
      </c>
      <c r="E34" s="287" t="n">
        <v>0.03</v>
      </c>
      <c r="F34" s="287" t="n">
        <v>0.03</v>
      </c>
      <c r="G34" s="287" t="n">
        <v>0.04</v>
      </c>
    </row>
    <row r="35" customFormat="false" ht="14.4" hidden="false" customHeight="false" outlineLevel="0" collapsed="false">
      <c r="B35" s="305" t="s">
        <v>465</v>
      </c>
      <c r="C35" s="287" t="n">
        <v>0.01</v>
      </c>
      <c r="D35" s="287" t="n">
        <v>0.02</v>
      </c>
      <c r="E35" s="287" t="n">
        <v>0.02</v>
      </c>
      <c r="F35" s="287" t="n">
        <v>0.02</v>
      </c>
      <c r="G35" s="287" t="n">
        <v>0.03</v>
      </c>
    </row>
    <row r="36" customFormat="false" ht="14.4" hidden="false" customHeight="false" outlineLevel="0" collapsed="false">
      <c r="B36" s="305" t="s">
        <v>466</v>
      </c>
      <c r="C36" s="287" t="n">
        <v>0.34</v>
      </c>
      <c r="D36" s="287" t="n">
        <v>0.43</v>
      </c>
      <c r="E36" s="287" t="n">
        <v>0.52</v>
      </c>
      <c r="F36" s="287" t="n">
        <v>0.6</v>
      </c>
      <c r="G36" s="287" t="n">
        <v>0.69</v>
      </c>
    </row>
    <row r="37" customFormat="false" ht="14.4" hidden="false" customHeight="false" outlineLevel="0" collapsed="false">
      <c r="B37" s="305" t="s">
        <v>467</v>
      </c>
      <c r="C37" s="287" t="n">
        <v>0.04</v>
      </c>
      <c r="D37" s="287" t="n">
        <v>0.11</v>
      </c>
      <c r="E37" s="287" t="n">
        <v>0.21</v>
      </c>
      <c r="F37" s="287" t="n">
        <v>0.35</v>
      </c>
      <c r="G37" s="287" t="n">
        <v>0.4</v>
      </c>
    </row>
    <row r="38" customFormat="false" ht="14.4" hidden="false" customHeight="false" outlineLevel="0" collapsed="false">
      <c r="B38" s="305" t="s">
        <v>468</v>
      </c>
      <c r="C38" s="287" t="n">
        <v>0.04</v>
      </c>
      <c r="D38" s="287" t="n">
        <v>0.11</v>
      </c>
      <c r="E38" s="287" t="n">
        <v>0.21</v>
      </c>
      <c r="F38" s="287" t="n">
        <v>0.35</v>
      </c>
      <c r="G38" s="287" t="n">
        <v>0.4</v>
      </c>
    </row>
    <row r="39" customFormat="false" ht="14.4" hidden="false" customHeight="false" outlineLevel="0" collapsed="false">
      <c r="B39" s="305" t="s">
        <v>469</v>
      </c>
      <c r="C39" s="287" t="n">
        <v>0.15</v>
      </c>
      <c r="D39" s="287" t="n">
        <v>0.19</v>
      </c>
      <c r="E39" s="287" t="n">
        <v>0.22</v>
      </c>
      <c r="F39" s="287" t="n">
        <v>0.26</v>
      </c>
      <c r="G39" s="287" t="n">
        <v>0.3</v>
      </c>
    </row>
    <row r="40" customFormat="false" ht="14.4" hidden="false" customHeight="false" outlineLevel="0" collapsed="false">
      <c r="B40" s="305" t="s">
        <v>470</v>
      </c>
      <c r="C40" s="287" t="n">
        <v>0.04</v>
      </c>
      <c r="D40" s="287" t="n">
        <v>0.11</v>
      </c>
      <c r="E40" s="287" t="n">
        <v>0.21</v>
      </c>
      <c r="F40" s="287" t="n">
        <v>0.35</v>
      </c>
      <c r="G40" s="287" t="n">
        <v>0.4</v>
      </c>
    </row>
    <row r="41" customFormat="false" ht="14.4" hidden="false" customHeight="false" outlineLevel="0" collapsed="false">
      <c r="B41" s="305" t="s">
        <v>471</v>
      </c>
      <c r="C41" s="287" t="n">
        <v>0.04</v>
      </c>
      <c r="D41" s="287" t="n">
        <v>0.11</v>
      </c>
      <c r="E41" s="287" t="n">
        <v>0.21</v>
      </c>
      <c r="F41" s="287" t="n">
        <v>0.35</v>
      </c>
      <c r="G41" s="287" t="n">
        <v>0.4</v>
      </c>
    </row>
    <row r="42" customFormat="false" ht="14.4" hidden="false" customHeight="false" outlineLevel="0" collapsed="false">
      <c r="B42" s="305" t="s">
        <v>472</v>
      </c>
      <c r="C42" s="287" t="n">
        <v>0.04</v>
      </c>
      <c r="D42" s="287" t="n">
        <v>0.05</v>
      </c>
      <c r="E42" s="287" t="n">
        <v>0.08</v>
      </c>
      <c r="F42" s="287" t="n">
        <v>0.1</v>
      </c>
      <c r="G42" s="287" t="n">
        <v>0.11</v>
      </c>
    </row>
    <row r="43" customFormat="false" ht="14.4" hidden="false" customHeight="false" outlineLevel="0" collapsed="false">
      <c r="B43" s="305" t="s">
        <v>473</v>
      </c>
      <c r="C43" s="287" t="n">
        <v>0.03</v>
      </c>
      <c r="D43" s="287" t="n">
        <v>0.03</v>
      </c>
      <c r="E43" s="287" t="n">
        <v>0.09</v>
      </c>
      <c r="F43" s="287" t="n">
        <v>0.17</v>
      </c>
      <c r="G43" s="287" t="n">
        <v>0.2</v>
      </c>
    </row>
    <row r="44" customFormat="false" ht="14.4" hidden="false" customHeight="false" outlineLevel="0" collapsed="false">
      <c r="B44" s="305" t="s">
        <v>474</v>
      </c>
      <c r="C44" s="287" t="n">
        <v>0.31</v>
      </c>
      <c r="D44" s="287" t="n">
        <v>0.57</v>
      </c>
      <c r="E44" s="287" t="n">
        <v>0.9</v>
      </c>
      <c r="F44" s="287" t="n">
        <v>1.24</v>
      </c>
      <c r="G44" s="287" t="n">
        <v>1.37</v>
      </c>
    </row>
    <row r="45" customFormat="false" ht="14.4" hidden="false" customHeight="false" outlineLevel="0" collapsed="false">
      <c r="B45" s="305" t="s">
        <v>475</v>
      </c>
      <c r="C45" s="287" t="n">
        <v>0.35</v>
      </c>
      <c r="D45" s="287" t="n">
        <v>0.63</v>
      </c>
      <c r="E45" s="287" t="n">
        <v>1.3</v>
      </c>
      <c r="F45" s="287" t="n">
        <v>2.88</v>
      </c>
      <c r="G45" s="287" t="n">
        <v>3.4</v>
      </c>
    </row>
    <row r="46" customFormat="false" ht="14.4" hidden="false" customHeight="false" outlineLevel="0" collapsed="false">
      <c r="B46" s="305" t="s">
        <v>476</v>
      </c>
      <c r="C46" s="287" t="n">
        <v>0.03</v>
      </c>
      <c r="D46" s="287" t="n">
        <v>0.07</v>
      </c>
      <c r="E46" s="287" t="n">
        <v>0.14</v>
      </c>
      <c r="F46" s="287" t="n">
        <v>0.16</v>
      </c>
      <c r="G46" s="287" t="n">
        <v>0.18</v>
      </c>
    </row>
    <row r="47" customFormat="false" ht="14.4" hidden="false" customHeight="false" outlineLevel="0" collapsed="false">
      <c r="B47" s="305" t="s">
        <v>477</v>
      </c>
      <c r="C47" s="287" t="n">
        <v>0.03</v>
      </c>
      <c r="D47" s="287" t="n">
        <v>0.04</v>
      </c>
      <c r="E47" s="287" t="n">
        <v>0.08</v>
      </c>
      <c r="F47" s="287" t="n">
        <v>0.07</v>
      </c>
      <c r="G47" s="287" t="n">
        <v>0.16</v>
      </c>
    </row>
    <row r="48" customFormat="false" ht="14.4" hidden="false" customHeight="false" outlineLevel="0" collapsed="false">
      <c r="B48" s="305" t="s">
        <v>478</v>
      </c>
      <c r="C48" s="287" t="n">
        <v>0.03</v>
      </c>
      <c r="D48" s="287" t="n">
        <v>0.04</v>
      </c>
      <c r="E48" s="287" t="n">
        <v>0.05</v>
      </c>
      <c r="F48" s="287" t="n">
        <v>0.11</v>
      </c>
      <c r="G48" s="287" t="n">
        <v>0.13</v>
      </c>
    </row>
    <row r="49" customFormat="false" ht="14.4" hidden="false" customHeight="false" outlineLevel="0" collapsed="false">
      <c r="B49" s="306" t="s">
        <v>479</v>
      </c>
      <c r="C49" s="287" t="n">
        <v>0.03</v>
      </c>
      <c r="D49" s="287" t="n">
        <v>0.02</v>
      </c>
      <c r="E49" s="287" t="n">
        <v>0.03</v>
      </c>
      <c r="F49" s="287" t="n">
        <v>0.05</v>
      </c>
      <c r="G49" s="287" t="n">
        <v>0.08</v>
      </c>
    </row>
    <row r="50" customFormat="false" ht="14.4" hidden="false" customHeight="false" outlineLevel="0" collapsed="false">
      <c r="B50" s="306" t="s">
        <v>480</v>
      </c>
      <c r="C50" s="287" t="n">
        <v>0.23</v>
      </c>
      <c r="D50" s="287" t="n">
        <v>0.41</v>
      </c>
      <c r="E50" s="287" t="n">
        <v>0.58</v>
      </c>
      <c r="F50" s="287" t="n">
        <v>0.74</v>
      </c>
      <c r="G50" s="287" t="n">
        <v>0.91</v>
      </c>
    </row>
    <row r="51" customFormat="false" ht="14.4" hidden="false" customHeight="false" outlineLevel="0" collapsed="false">
      <c r="B51" s="306" t="s">
        <v>481</v>
      </c>
      <c r="C51" s="287" t="n">
        <v>0.33</v>
      </c>
      <c r="D51" s="287" t="n">
        <v>0.54</v>
      </c>
      <c r="E51" s="287" t="n">
        <v>0.69</v>
      </c>
      <c r="F51" s="287" t="n">
        <v>0.81</v>
      </c>
      <c r="G51" s="287" t="n">
        <v>0.92</v>
      </c>
    </row>
    <row r="52" customFormat="false" ht="14.4" hidden="false" customHeight="false" outlineLevel="0" collapsed="false">
      <c r="B52" s="305" t="s">
        <v>482</v>
      </c>
      <c r="C52" s="287" t="n">
        <v>0.12</v>
      </c>
      <c r="D52" s="287" t="n">
        <v>0.15</v>
      </c>
      <c r="E52" s="287" t="n">
        <v>0.18</v>
      </c>
      <c r="F52" s="287" t="n">
        <v>0.26</v>
      </c>
      <c r="G52" s="287" t="n">
        <v>0.36</v>
      </c>
    </row>
    <row r="53" customFormat="false" ht="14.4" hidden="false" customHeight="false" outlineLevel="0" collapsed="false">
      <c r="B53" s="306" t="s">
        <v>483</v>
      </c>
      <c r="C53" s="287" t="n">
        <v>0.02</v>
      </c>
      <c r="D53" s="287" t="n">
        <v>0.03</v>
      </c>
      <c r="E53" s="287" t="n">
        <v>0.03</v>
      </c>
      <c r="F53" s="287" t="n">
        <v>0.08</v>
      </c>
      <c r="G53" s="287" t="n">
        <v>0.09</v>
      </c>
    </row>
    <row r="54" customFormat="false" ht="14.4" hidden="false" customHeight="false" outlineLevel="0" collapsed="false">
      <c r="B54" s="305" t="s">
        <v>484</v>
      </c>
      <c r="C54" s="287" t="n">
        <v>0.06</v>
      </c>
      <c r="D54" s="287" t="n">
        <v>0.1</v>
      </c>
      <c r="E54" s="287" t="n">
        <v>0.17</v>
      </c>
      <c r="F54" s="287" t="n">
        <v>0.2</v>
      </c>
      <c r="G54" s="287" t="n">
        <v>0.29</v>
      </c>
    </row>
    <row r="55" customFormat="false" ht="14.4" hidden="false" customHeight="false" outlineLevel="0" collapsed="false">
      <c r="B55" s="305" t="s">
        <v>485</v>
      </c>
      <c r="C55" s="287" t="n">
        <v>0.46</v>
      </c>
      <c r="D55" s="287" t="n">
        <v>0.79</v>
      </c>
      <c r="E55" s="287" t="n">
        <v>1.17</v>
      </c>
      <c r="F55" s="287" t="n">
        <v>1.56</v>
      </c>
      <c r="G55" s="287" t="n">
        <v>1.78</v>
      </c>
    </row>
    <row r="56" customFormat="false" ht="14.4" hidden="false" customHeight="false" outlineLevel="0" collapsed="false">
      <c r="B56" s="305" t="s">
        <v>486</v>
      </c>
      <c r="C56" s="287" t="n">
        <v>0.02</v>
      </c>
      <c r="D56" s="287" t="n">
        <v>0.05</v>
      </c>
      <c r="E56" s="287" t="n">
        <v>0.06</v>
      </c>
      <c r="F56" s="287" t="n">
        <v>0.15</v>
      </c>
      <c r="G56" s="287" t="n">
        <v>0.17</v>
      </c>
    </row>
    <row r="57" customFormat="false" ht="14.4" hidden="false" customHeight="false" outlineLevel="0" collapsed="false">
      <c r="B57" s="305" t="s">
        <v>487</v>
      </c>
      <c r="C57" s="287" t="n">
        <v>0.03</v>
      </c>
      <c r="D57" s="287" t="n">
        <v>0.04</v>
      </c>
      <c r="E57" s="287" t="n">
        <v>0.05</v>
      </c>
      <c r="F57" s="287" t="n">
        <v>0.09</v>
      </c>
      <c r="G57" s="287" t="n">
        <v>0.11</v>
      </c>
    </row>
    <row r="58" customFormat="false" ht="14.4" hidden="false" customHeight="false" outlineLevel="0" collapsed="false">
      <c r="B58" s="305" t="s">
        <v>488</v>
      </c>
      <c r="C58" s="287" t="n">
        <v>0.04</v>
      </c>
      <c r="D58" s="287" t="n">
        <v>0.05</v>
      </c>
      <c r="E58" s="287" t="n">
        <v>0.07</v>
      </c>
      <c r="F58" s="287" t="n">
        <v>0.11</v>
      </c>
      <c r="G58" s="287" t="n">
        <v>0.17</v>
      </c>
    </row>
    <row r="59" customFormat="false" ht="14.4" hidden="false" customHeight="false" outlineLevel="0" collapsed="false">
      <c r="B59" s="306" t="s">
        <v>489</v>
      </c>
      <c r="C59" s="287" t="n">
        <v>0.03</v>
      </c>
      <c r="D59" s="287" t="n">
        <v>0.05</v>
      </c>
      <c r="E59" s="287" t="n">
        <v>0.06</v>
      </c>
      <c r="F59" s="287" t="n">
        <v>0.12</v>
      </c>
      <c r="G59" s="287" t="n">
        <v>0.15</v>
      </c>
    </row>
    <row r="60" customFormat="false" ht="14.4" hidden="false" customHeight="false" outlineLevel="0" collapsed="false">
      <c r="B60" s="305" t="s">
        <v>490</v>
      </c>
      <c r="C60" s="287" t="n">
        <v>0.04</v>
      </c>
      <c r="D60" s="287" t="n">
        <v>0.05</v>
      </c>
      <c r="E60" s="287" t="n">
        <v>0.09</v>
      </c>
      <c r="F60" s="287" t="n">
        <v>0.11</v>
      </c>
      <c r="G60" s="287" t="n">
        <v>0.12</v>
      </c>
    </row>
    <row r="61" customFormat="false" ht="14.4" hidden="false" customHeight="false" outlineLevel="0" collapsed="false">
      <c r="B61" s="305" t="s">
        <v>491</v>
      </c>
      <c r="C61" s="287" t="n">
        <v>0.04</v>
      </c>
      <c r="D61" s="287" t="n">
        <v>0.11</v>
      </c>
      <c r="E61" s="287" t="n">
        <v>0.21</v>
      </c>
      <c r="F61" s="287" t="n">
        <v>0.35</v>
      </c>
      <c r="G61" s="287" t="n">
        <v>0.4</v>
      </c>
    </row>
    <row r="62" customFormat="false" ht="14.4" hidden="false" customHeight="false" outlineLevel="0" collapsed="false">
      <c r="B62" s="305" t="s">
        <v>492</v>
      </c>
      <c r="C62" s="287" t="n">
        <v>0.21</v>
      </c>
      <c r="D62" s="287" t="n">
        <v>0.46</v>
      </c>
      <c r="E62" s="287" t="n">
        <v>0.67</v>
      </c>
      <c r="F62" s="287" t="n">
        <v>0.92</v>
      </c>
      <c r="G62" s="287" t="n">
        <v>1.26</v>
      </c>
    </row>
    <row r="63" customFormat="false" ht="14.4" hidden="false" customHeight="false" outlineLevel="0" collapsed="false">
      <c r="B63" s="305" t="s">
        <v>493</v>
      </c>
      <c r="C63" s="287" t="n">
        <v>0.21</v>
      </c>
      <c r="D63" s="287" t="n">
        <v>0.46</v>
      </c>
      <c r="E63" s="287" t="n">
        <v>0.67</v>
      </c>
      <c r="F63" s="287" t="n">
        <v>0.92</v>
      </c>
      <c r="G63" s="287" t="n">
        <v>1.26</v>
      </c>
    </row>
    <row r="64" customFormat="false" ht="14.4" hidden="false" customHeight="false" outlineLevel="0" collapsed="false">
      <c r="B64" s="305" t="s">
        <v>494</v>
      </c>
      <c r="C64" s="287" t="n">
        <v>0.29</v>
      </c>
      <c r="D64" s="287" t="n">
        <v>0.72</v>
      </c>
      <c r="E64" s="287" t="n">
        <v>1.01</v>
      </c>
      <c r="F64" s="287" t="n">
        <v>1.44</v>
      </c>
      <c r="G64" s="287" t="n">
        <v>1.9</v>
      </c>
    </row>
    <row r="65" customFormat="false" ht="14.4" hidden="false" customHeight="false" outlineLevel="0" collapsed="false">
      <c r="B65" s="305" t="s">
        <v>495</v>
      </c>
      <c r="C65" s="287" t="n">
        <v>0.34</v>
      </c>
      <c r="D65" s="287" t="n">
        <v>0.81</v>
      </c>
      <c r="E65" s="287" t="n">
        <v>1.18</v>
      </c>
      <c r="F65" s="287" t="n">
        <v>1.55</v>
      </c>
      <c r="G65" s="287" t="n">
        <v>2.02</v>
      </c>
    </row>
    <row r="66" customFormat="false" ht="14.4" hidden="false" customHeight="false" outlineLevel="0" collapsed="false">
      <c r="B66" s="305" t="s">
        <v>496</v>
      </c>
      <c r="C66" s="287" t="n">
        <v>0.15</v>
      </c>
      <c r="D66" s="287" t="n">
        <v>0.19</v>
      </c>
      <c r="E66" s="287" t="n">
        <v>0.22</v>
      </c>
      <c r="F66" s="287" t="n">
        <v>0.26</v>
      </c>
      <c r="G66" s="287" t="n">
        <v>0.3</v>
      </c>
    </row>
    <row r="67" customFormat="false" ht="14.4" hidden="false" customHeight="false" outlineLevel="0" collapsed="false">
      <c r="B67" s="305" t="s">
        <v>497</v>
      </c>
      <c r="C67" s="287" t="n">
        <v>0.35</v>
      </c>
      <c r="D67" s="287" t="n">
        <v>0.63</v>
      </c>
      <c r="E67" s="287" t="n">
        <v>1.3</v>
      </c>
      <c r="F67" s="287" t="n">
        <v>2.88</v>
      </c>
      <c r="G67" s="287" t="n">
        <v>3.4</v>
      </c>
    </row>
    <row r="68" customFormat="false" ht="14.4" hidden="false" customHeight="false" outlineLevel="0" collapsed="false">
      <c r="B68" s="305" t="s">
        <v>498</v>
      </c>
      <c r="C68" s="287" t="n">
        <v>0.15</v>
      </c>
      <c r="D68" s="287" t="n">
        <v>0.19</v>
      </c>
      <c r="E68" s="287" t="n">
        <v>0.22</v>
      </c>
      <c r="F68" s="287" t="n">
        <v>0.26</v>
      </c>
      <c r="G68" s="287" t="n">
        <v>0.3</v>
      </c>
    </row>
    <row r="69" customFormat="false" ht="14.4" hidden="false" customHeight="false" outlineLevel="0" collapsed="false">
      <c r="B69" s="305" t="s">
        <v>499</v>
      </c>
      <c r="C69" s="287" t="n">
        <v>0.05</v>
      </c>
      <c r="D69" s="287" t="n">
        <v>0.06</v>
      </c>
      <c r="E69" s="287" t="n">
        <v>0.13</v>
      </c>
      <c r="F69" s="287" t="n">
        <v>0.15</v>
      </c>
      <c r="G69" s="287" t="n">
        <v>0.17</v>
      </c>
    </row>
    <row r="70" customFormat="false" ht="14.4" hidden="false" customHeight="false" outlineLevel="0" collapsed="false">
      <c r="B70" s="305" t="s">
        <v>500</v>
      </c>
      <c r="C70" s="287" t="n">
        <v>0.04</v>
      </c>
      <c r="D70" s="287" t="n">
        <v>0.05</v>
      </c>
      <c r="E70" s="287" t="n">
        <v>0.1</v>
      </c>
      <c r="F70" s="287" t="n">
        <v>0.11</v>
      </c>
      <c r="G70" s="287" t="n">
        <v>0.13</v>
      </c>
    </row>
    <row r="71" customFormat="false" ht="14.4" hidden="false" customHeight="false" outlineLevel="0" collapsed="false">
      <c r="B71" s="305" t="s">
        <v>501</v>
      </c>
      <c r="C71" s="287" t="n">
        <v>0.05</v>
      </c>
      <c r="D71" s="287" t="n">
        <v>0.06</v>
      </c>
      <c r="E71" s="287" t="n">
        <v>0.07</v>
      </c>
      <c r="F71" s="287" t="n">
        <v>0.08</v>
      </c>
      <c r="G71" s="287" t="n">
        <v>0.1</v>
      </c>
    </row>
    <row r="72" customFormat="false" ht="14.4" hidden="false" customHeight="false" outlineLevel="0" collapsed="false">
      <c r="B72" s="305" t="s">
        <v>502</v>
      </c>
      <c r="C72" s="287" t="n">
        <v>0.06</v>
      </c>
      <c r="D72" s="287" t="n">
        <v>0.07</v>
      </c>
      <c r="E72" s="287" t="n">
        <v>0.18</v>
      </c>
      <c r="F72" s="287" t="n">
        <v>0.21</v>
      </c>
      <c r="G72" s="287" t="n">
        <v>0.24</v>
      </c>
    </row>
    <row r="73" customFormat="false" ht="14.4" hidden="false" customHeight="false" outlineLevel="0" collapsed="false">
      <c r="B73" s="305" t="s">
        <v>503</v>
      </c>
      <c r="C73" s="287" t="n">
        <v>0.07</v>
      </c>
      <c r="D73" s="287" t="n">
        <v>0.12</v>
      </c>
      <c r="E73" s="287" t="n">
        <v>0.15</v>
      </c>
      <c r="F73" s="287" t="n">
        <v>0.23</v>
      </c>
      <c r="G73" s="287" t="n">
        <v>0.26</v>
      </c>
    </row>
    <row r="74" customFormat="false" ht="14.4" hidden="false" customHeight="false" outlineLevel="0" collapsed="false">
      <c r="B74" s="305" t="s">
        <v>504</v>
      </c>
      <c r="C74" s="287" t="n">
        <v>0.05</v>
      </c>
      <c r="D74" s="287" t="n">
        <v>0.07</v>
      </c>
      <c r="E74" s="287" t="n">
        <v>0.15</v>
      </c>
      <c r="F74" s="287" t="n">
        <v>0.17</v>
      </c>
      <c r="G74" s="287" t="n">
        <v>0.2</v>
      </c>
    </row>
    <row r="75" customFormat="false" ht="14.4" hidden="false" customHeight="false" outlineLevel="0" collapsed="false">
      <c r="B75" s="305" t="s">
        <v>505</v>
      </c>
      <c r="C75" s="287" t="n">
        <v>0.07</v>
      </c>
      <c r="D75" s="287" t="n">
        <v>0.16</v>
      </c>
      <c r="E75" s="287" t="n">
        <v>0.19</v>
      </c>
      <c r="F75" s="287" t="n">
        <v>0.22</v>
      </c>
      <c r="G75" s="287" t="n">
        <v>0.34</v>
      </c>
    </row>
    <row r="76" customFormat="false" ht="14.4" hidden="false" customHeight="false" outlineLevel="0" collapsed="false">
      <c r="B76" s="305" t="s">
        <v>506</v>
      </c>
      <c r="C76" s="287" t="n">
        <v>0.07</v>
      </c>
      <c r="D76" s="287" t="n">
        <v>0.18</v>
      </c>
      <c r="E76" s="287" t="n">
        <v>0.22</v>
      </c>
      <c r="F76" s="287" t="n">
        <v>0.35</v>
      </c>
      <c r="G76" s="287" t="n">
        <v>0.4</v>
      </c>
    </row>
    <row r="77" customFormat="false" ht="14.4" hidden="false" customHeight="false" outlineLevel="0" collapsed="false">
      <c r="B77" s="305" t="s">
        <v>507</v>
      </c>
      <c r="C77" s="287" t="n">
        <v>0.07</v>
      </c>
      <c r="D77" s="287" t="n">
        <v>0.09</v>
      </c>
      <c r="E77" s="287" t="n">
        <v>0.11</v>
      </c>
      <c r="F77" s="287" t="n">
        <v>0.13</v>
      </c>
      <c r="G77" s="287" t="n">
        <v>0.15</v>
      </c>
    </row>
    <row r="78" customFormat="false" ht="14.4" hidden="false" customHeight="false" outlineLevel="0" collapsed="false">
      <c r="B78" s="305" t="s">
        <v>508</v>
      </c>
      <c r="C78" s="287" t="n">
        <v>0.04</v>
      </c>
      <c r="D78" s="287" t="n">
        <v>0.11</v>
      </c>
      <c r="E78" s="287" t="n">
        <v>0.21</v>
      </c>
      <c r="F78" s="287" t="n">
        <v>0.35</v>
      </c>
      <c r="G78" s="287" t="n">
        <v>0.4</v>
      </c>
    </row>
    <row r="79" customFormat="false" ht="14.4" hidden="false" customHeight="false" outlineLevel="0" collapsed="false">
      <c r="B79" s="305" t="s">
        <v>509</v>
      </c>
      <c r="C79" s="287" t="n">
        <v>0.06</v>
      </c>
      <c r="D79" s="287" t="n">
        <v>0.16</v>
      </c>
      <c r="E79" s="287" t="n">
        <v>0.19</v>
      </c>
      <c r="F79" s="287" t="n">
        <v>0.34</v>
      </c>
      <c r="G79" s="287" t="n">
        <v>0.39</v>
      </c>
    </row>
    <row r="80" customFormat="false" ht="14.4" hidden="false" customHeight="false" outlineLevel="0" collapsed="false">
      <c r="B80" s="305" t="s">
        <v>510</v>
      </c>
      <c r="C80" s="287" t="n">
        <v>0.31</v>
      </c>
      <c r="D80" s="287" t="n">
        <v>0.57</v>
      </c>
      <c r="E80" s="287" t="n">
        <v>0.9</v>
      </c>
      <c r="F80" s="287" t="n">
        <v>1.24</v>
      </c>
      <c r="G80" s="287" t="n">
        <v>1.37</v>
      </c>
    </row>
    <row r="81" customFormat="false" ht="14.4" hidden="false" customHeight="false" outlineLevel="0" collapsed="false">
      <c r="B81" s="305" t="s">
        <v>511</v>
      </c>
      <c r="C81" s="287" t="n">
        <v>0.17</v>
      </c>
      <c r="D81" s="287" t="n">
        <v>0.21</v>
      </c>
      <c r="E81" s="287" t="n">
        <v>0.25</v>
      </c>
      <c r="F81" s="287" t="n">
        <v>0.29</v>
      </c>
      <c r="G81" s="287" t="n">
        <v>0.33</v>
      </c>
    </row>
    <row r="82" customFormat="false" ht="14.4" hidden="false" customHeight="false" outlineLevel="0" collapsed="false">
      <c r="B82" s="305" t="s">
        <v>512</v>
      </c>
      <c r="C82" s="287" t="n">
        <v>0.03</v>
      </c>
      <c r="D82" s="287" t="n">
        <v>0.07</v>
      </c>
      <c r="E82" s="287" t="n">
        <v>0.08</v>
      </c>
      <c r="F82" s="287" t="n">
        <v>0.14</v>
      </c>
      <c r="G82" s="287" t="n">
        <v>0.16</v>
      </c>
    </row>
    <row r="83" customFormat="false" ht="14.4" hidden="false" customHeight="false" outlineLevel="0" collapsed="false">
      <c r="B83" s="305" t="s">
        <v>513</v>
      </c>
      <c r="C83" s="287" t="n">
        <v>0.03</v>
      </c>
      <c r="D83" s="287" t="n">
        <v>0.05</v>
      </c>
      <c r="E83" s="287" t="n">
        <v>0.06</v>
      </c>
      <c r="F83" s="287" t="n">
        <v>0.12</v>
      </c>
      <c r="G83" s="287" t="n">
        <v>0.15</v>
      </c>
    </row>
    <row r="84" customFormat="false" ht="14.4" hidden="false" customHeight="false" outlineLevel="0" collapsed="false">
      <c r="B84" s="305" t="s">
        <v>514</v>
      </c>
      <c r="C84" s="287" t="n">
        <v>0.03</v>
      </c>
      <c r="D84" s="287" t="n">
        <v>0.07</v>
      </c>
      <c r="E84" s="287" t="n">
        <v>0.08</v>
      </c>
      <c r="F84" s="287" t="n">
        <v>0.14</v>
      </c>
      <c r="G84" s="287" t="n">
        <v>0.16</v>
      </c>
    </row>
    <row r="85" customFormat="false" ht="14.4" hidden="false" customHeight="false" outlineLevel="0" collapsed="false">
      <c r="B85" s="305" t="s">
        <v>515</v>
      </c>
      <c r="C85" s="287" t="n">
        <v>0.01</v>
      </c>
      <c r="D85" s="287" t="n">
        <v>0.01</v>
      </c>
      <c r="E85" s="287" t="n">
        <v>0.02</v>
      </c>
      <c r="F85" s="287" t="n">
        <v>0.02</v>
      </c>
      <c r="G85" s="287" t="n">
        <v>0.02</v>
      </c>
    </row>
    <row r="86" customFormat="false" ht="14.4" hidden="false" customHeight="false" outlineLevel="0" collapsed="false">
      <c r="B86" s="305" t="s">
        <v>516</v>
      </c>
      <c r="C86" s="287" t="n">
        <v>0.05</v>
      </c>
      <c r="D86" s="287" t="n">
        <v>0.06</v>
      </c>
      <c r="E86" s="287" t="n">
        <v>0.09</v>
      </c>
      <c r="F86" s="287" t="n">
        <v>0.12</v>
      </c>
      <c r="G86" s="287" t="n">
        <v>0.13</v>
      </c>
    </row>
    <row r="87" customFormat="false" ht="14.4" hidden="false" customHeight="false" outlineLevel="0" collapsed="false">
      <c r="B87" s="305" t="s">
        <v>517</v>
      </c>
      <c r="C87" s="287" t="n">
        <v>0.18</v>
      </c>
      <c r="D87" s="287" t="n">
        <v>0.23</v>
      </c>
      <c r="E87" s="287" t="n">
        <v>0.27</v>
      </c>
      <c r="F87" s="287" t="n">
        <v>0.5</v>
      </c>
      <c r="G87" s="287" t="n">
        <v>0.58</v>
      </c>
    </row>
    <row r="88" customFormat="false" ht="14.4" hidden="false" customHeight="false" outlineLevel="0" collapsed="false">
      <c r="C88" s="167"/>
      <c r="D88" s="167"/>
      <c r="E88" s="167"/>
      <c r="F88" s="167"/>
      <c r="G88" s="167"/>
    </row>
    <row r="89" customFormat="false" ht="14.4" hidden="false" customHeight="false" outlineLevel="0" collapsed="false">
      <c r="C89" s="167"/>
      <c r="D89" s="167"/>
      <c r="E89" s="167"/>
      <c r="F89" s="167"/>
      <c r="G89" s="167"/>
    </row>
    <row r="90" customFormat="false" ht="14.4" hidden="false" customHeight="false" outlineLevel="0" collapsed="false">
      <c r="C90" s="167"/>
      <c r="D90" s="167"/>
      <c r="E90" s="167"/>
      <c r="F90" s="167"/>
      <c r="G90" s="167"/>
    </row>
    <row r="91" customFormat="false" ht="14.4" hidden="false" customHeight="false" outlineLevel="0" collapsed="false">
      <c r="C91" s="167"/>
      <c r="D91" s="167"/>
      <c r="E91" s="167"/>
      <c r="F91" s="167"/>
      <c r="G91" s="167"/>
    </row>
    <row r="92" customFormat="false" ht="14.4" hidden="false" customHeight="false" outlineLevel="0" collapsed="false">
      <c r="C92" s="167"/>
      <c r="D92" s="167"/>
      <c r="E92" s="167"/>
      <c r="F92" s="167"/>
      <c r="G92" s="167"/>
    </row>
    <row r="93" customFormat="false" ht="14.4" hidden="false" customHeight="false" outlineLevel="0" collapsed="false">
      <c r="C93" s="167"/>
      <c r="D93" s="167"/>
      <c r="E93" s="167"/>
      <c r="F93" s="167"/>
      <c r="G93" s="167"/>
    </row>
    <row r="94" customFormat="false" ht="14.4" hidden="false" customHeight="false" outlineLevel="0" collapsed="false">
      <c r="C94" s="167"/>
      <c r="D94" s="167"/>
      <c r="E94" s="167"/>
      <c r="F94" s="167"/>
      <c r="G94" s="167"/>
    </row>
    <row r="95" customFormat="false" ht="14.4" hidden="false" customHeight="false" outlineLevel="0" collapsed="false">
      <c r="C95" s="167"/>
      <c r="D95" s="167"/>
      <c r="E95" s="167"/>
      <c r="F95" s="167"/>
      <c r="G95" s="167"/>
    </row>
    <row r="96" customFormat="false" ht="14.4" hidden="false" customHeight="false" outlineLevel="0" collapsed="false">
      <c r="C96" s="167"/>
      <c r="D96" s="167"/>
      <c r="E96" s="167"/>
      <c r="F96" s="167"/>
      <c r="G96" s="167"/>
    </row>
    <row r="97" customFormat="false" ht="14.4" hidden="false" customHeight="false" outlineLevel="0" collapsed="false">
      <c r="C97" s="167"/>
      <c r="D97" s="167"/>
      <c r="E97" s="167"/>
      <c r="F97" s="167"/>
      <c r="G97" s="167"/>
    </row>
    <row r="98" customFormat="false" ht="14.4" hidden="false" customHeight="false" outlineLevel="0" collapsed="false">
      <c r="C98" s="167"/>
      <c r="D98" s="167"/>
      <c r="E98" s="167"/>
      <c r="F98" s="167"/>
      <c r="G98" s="167"/>
    </row>
    <row r="99" customFormat="false" ht="14.4" hidden="false" customHeight="false" outlineLevel="0" collapsed="false">
      <c r="C99" s="167"/>
      <c r="D99" s="167"/>
      <c r="E99" s="167"/>
      <c r="F99" s="167"/>
      <c r="G99" s="167"/>
    </row>
    <row r="100" customFormat="false" ht="14.4" hidden="false" customHeight="false" outlineLevel="0" collapsed="false">
      <c r="C100" s="167"/>
      <c r="D100" s="167"/>
      <c r="E100" s="167"/>
      <c r="F100" s="167"/>
      <c r="G100" s="167"/>
    </row>
    <row r="101" customFormat="false" ht="14.4" hidden="false" customHeight="false" outlineLevel="0" collapsed="false">
      <c r="C101" s="167"/>
      <c r="D101" s="167"/>
      <c r="E101" s="167"/>
      <c r="F101" s="167"/>
      <c r="G101" s="167"/>
    </row>
    <row r="102" customFormat="false" ht="14.4" hidden="false" customHeight="false" outlineLevel="0" collapsed="false">
      <c r="C102" s="167"/>
      <c r="D102" s="167"/>
      <c r="E102" s="167"/>
      <c r="F102" s="167"/>
      <c r="G102" s="167"/>
    </row>
    <row r="103" customFormat="false" ht="14.4" hidden="false" customHeight="false" outlineLevel="0" collapsed="false">
      <c r="C103" s="167"/>
      <c r="D103" s="167"/>
      <c r="E103" s="167"/>
      <c r="F103" s="167"/>
      <c r="G103" s="167"/>
    </row>
    <row r="104" customFormat="false" ht="14.4" hidden="false" customHeight="false" outlineLevel="0" collapsed="false">
      <c r="C104" s="167"/>
      <c r="D104" s="167"/>
      <c r="E104" s="167"/>
      <c r="F104" s="167"/>
      <c r="G104" s="167"/>
    </row>
    <row r="105" customFormat="false" ht="14.4" hidden="false" customHeight="false" outlineLevel="0" collapsed="false">
      <c r="C105" s="167"/>
      <c r="D105" s="167"/>
      <c r="E105" s="167"/>
      <c r="F105" s="167"/>
      <c r="G105" s="167"/>
    </row>
    <row r="106" customFormat="false" ht="14.4" hidden="false" customHeight="false" outlineLevel="0" collapsed="false">
      <c r="C106" s="167"/>
      <c r="D106" s="167"/>
      <c r="E106" s="167"/>
      <c r="F106" s="167"/>
      <c r="G106" s="167"/>
    </row>
    <row r="107" customFormat="false" ht="14.4" hidden="false" customHeight="false" outlineLevel="0" collapsed="false">
      <c r="C107" s="167"/>
      <c r="D107" s="167"/>
      <c r="E107" s="167"/>
      <c r="F107" s="167"/>
      <c r="G107" s="167"/>
    </row>
    <row r="108" customFormat="false" ht="14.4" hidden="false" customHeight="false" outlineLevel="0" collapsed="false">
      <c r="C108" s="167"/>
      <c r="D108" s="167"/>
      <c r="E108" s="167"/>
      <c r="F108" s="167"/>
      <c r="G108" s="167"/>
    </row>
    <row r="109" customFormat="false" ht="14.4" hidden="false" customHeight="false" outlineLevel="0" collapsed="false">
      <c r="C109" s="167"/>
      <c r="D109" s="167"/>
      <c r="E109" s="167"/>
      <c r="F109" s="167"/>
      <c r="G109" s="167"/>
    </row>
    <row r="110" customFormat="false" ht="14.4" hidden="false" customHeight="false" outlineLevel="0" collapsed="false">
      <c r="C110" s="167"/>
      <c r="D110" s="167"/>
      <c r="E110" s="167"/>
      <c r="F110" s="167"/>
      <c r="G110" s="167"/>
    </row>
  </sheetData>
  <sheetProtection sheet="true" password="e929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BO15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3.78"/>
    <col collapsed="false" customWidth="true" hidden="false" outlineLevel="0" max="2" min="2" style="1" width="6.54"/>
    <col collapsed="false" customWidth="true" hidden="false" outlineLevel="0" max="3" min="3" style="1" width="3.78"/>
    <col collapsed="false" customWidth="true" hidden="false" outlineLevel="0" max="4" min="4" style="4" width="11.89"/>
    <col collapsed="false" customWidth="true" hidden="false" outlineLevel="0" max="5" min="5" style="4" width="41.56"/>
    <col collapsed="false" customWidth="true" hidden="false" outlineLevel="0" max="6" min="6" style="4" width="31.43"/>
    <col collapsed="false" customWidth="true" hidden="false" outlineLevel="0" max="7" min="7" style="4" width="31.01"/>
    <col collapsed="false" customWidth="true" hidden="false" outlineLevel="0" max="8" min="8" style="4" width="21.66"/>
    <col collapsed="false" customWidth="true" hidden="false" outlineLevel="0" max="11" min="9" style="4" width="16.89"/>
    <col collapsed="false" customWidth="true" hidden="false" outlineLevel="0" max="67" min="12" style="4" width="11.57"/>
    <col collapsed="false" customWidth="true" hidden="false" outlineLevel="0" max="1025" min="68" style="1" width="8.67"/>
  </cols>
  <sheetData>
    <row r="1" customFormat="false" ht="18.55" hidden="false" customHeight="false" outlineLevel="0" collapsed="false">
      <c r="D1" s="5"/>
      <c r="E1" s="5"/>
      <c r="F1" s="5"/>
      <c r="G1" s="39"/>
      <c r="H1" s="39"/>
      <c r="I1" s="3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customFormat="false" ht="18.55" hidden="false" customHeight="false" outlineLevel="0" collapsed="false">
      <c r="D2" s="8" t="s">
        <v>91</v>
      </c>
      <c r="E2" s="8"/>
      <c r="F2" s="8"/>
      <c r="G2" s="39"/>
      <c r="H2" s="39"/>
      <c r="I2" s="3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customFormat="false" ht="13.8" hidden="false" customHeight="false" outlineLevel="0" collapsed="false">
      <c r="D3" s="2"/>
      <c r="E3" s="2"/>
      <c r="F3" s="2"/>
      <c r="G3" s="2"/>
      <c r="H3" s="2"/>
      <c r="I3" s="2"/>
    </row>
    <row r="4" customFormat="false" ht="13.8" hidden="false" customHeight="false" outlineLevel="0" collapsed="false">
      <c r="D4" s="2"/>
      <c r="E4" s="2"/>
      <c r="F4" s="2"/>
      <c r="G4" s="2"/>
      <c r="H4" s="2"/>
      <c r="I4" s="2"/>
    </row>
    <row r="5" customFormat="false" ht="13.8" hidden="false" customHeight="false" outlineLevel="0" collapsed="false">
      <c r="D5" s="2"/>
      <c r="E5" s="10" t="s">
        <v>1</v>
      </c>
      <c r="F5" s="40" t="n">
        <f aca="false">Dades!F5</f>
        <v>0</v>
      </c>
      <c r="G5" s="2"/>
      <c r="H5" s="2"/>
      <c r="I5" s="2"/>
    </row>
    <row r="6" customFormat="false" ht="13.8" hidden="false" customHeight="false" outlineLevel="0" collapsed="false">
      <c r="D6" s="2"/>
      <c r="E6" s="10" t="s">
        <v>92</v>
      </c>
      <c r="F6" s="40" t="e">
        <f aca="false">VLOOKUP(F5,illa,2,FALSE())</f>
        <v>#N/A</v>
      </c>
      <c r="G6" s="2"/>
      <c r="H6" s="2"/>
      <c r="I6" s="2"/>
    </row>
    <row r="7" customFormat="false" ht="13.8" hidden="false" customHeight="false" outlineLevel="0" collapsed="false">
      <c r="D7" s="2"/>
      <c r="E7" s="2"/>
      <c r="F7" s="2"/>
      <c r="G7" s="2"/>
      <c r="H7" s="2"/>
      <c r="I7" s="2"/>
    </row>
    <row r="8" customFormat="false" ht="13.8" hidden="false" customHeight="false" outlineLevel="0" collapsed="false">
      <c r="D8" s="2"/>
      <c r="E8" s="2"/>
      <c r="F8" s="2"/>
      <c r="G8" s="2"/>
      <c r="H8" s="2"/>
      <c r="I8" s="2"/>
    </row>
    <row r="9" customFormat="false" ht="13.8" hidden="false" customHeight="false" outlineLevel="0" collapsed="false">
      <c r="D9" s="14" t="s">
        <v>8</v>
      </c>
      <c r="E9" s="41" t="s">
        <v>93</v>
      </c>
      <c r="F9" s="41"/>
      <c r="G9" s="2"/>
      <c r="H9" s="2"/>
      <c r="I9" s="2"/>
    </row>
    <row r="10" customFormat="false" ht="13.8" hidden="false" customHeight="false" outlineLevel="0" collapsed="false">
      <c r="D10" s="2"/>
      <c r="E10" s="42"/>
      <c r="F10" s="2"/>
      <c r="G10" s="2"/>
      <c r="H10" s="2"/>
      <c r="I10" s="2"/>
    </row>
    <row r="11" customFormat="false" ht="13.8" hidden="false" customHeight="false" outlineLevel="0" collapsed="false">
      <c r="D11" s="2"/>
      <c r="E11" s="10" t="s">
        <v>94</v>
      </c>
      <c r="F11" s="28" t="s">
        <v>95</v>
      </c>
      <c r="G11" s="2"/>
      <c r="H11" s="2"/>
      <c r="BO11" s="25"/>
    </row>
    <row r="12" customFormat="false" ht="13.8" hidden="false" customHeight="false" outlineLevel="0" collapsed="false">
      <c r="D12" s="2"/>
      <c r="E12" s="43" t="s">
        <v>96</v>
      </c>
      <c r="F12" s="44" t="n">
        <f aca="false">IF(Dades!E46="",SUMPRODUCT(Dades!E39:E43,Dades!F39:F43),Dades!E46)</f>
        <v>0</v>
      </c>
      <c r="G12" s="2"/>
      <c r="H12" s="2"/>
      <c r="BO12" s="25"/>
    </row>
    <row r="13" customFormat="false" ht="13.8" hidden="false" customHeight="false" outlineLevel="0" collapsed="false">
      <c r="D13" s="2"/>
      <c r="E13" s="43" t="s">
        <v>97</v>
      </c>
      <c r="F13" s="44" t="n">
        <f aca="false">IF(Dades!E63="",SUMPRODUCT(Dades!E56:E60,Dades!F56:F60),Dades!E63)</f>
        <v>0</v>
      </c>
      <c r="G13" s="2"/>
      <c r="H13" s="2"/>
      <c r="BO13" s="25"/>
    </row>
    <row r="14" customFormat="false" ht="13.8" hidden="false" customHeight="false" outlineLevel="0" collapsed="false">
      <c r="D14" s="2"/>
      <c r="E14" s="43" t="s">
        <v>98</v>
      </c>
      <c r="F14" s="44" t="n">
        <f aca="false">IF(Dades!E80="",SUMPRODUCT(Dades!E73:E77,Dades!F73:F77),Dades!E80)</f>
        <v>0</v>
      </c>
      <c r="G14" s="2"/>
      <c r="H14" s="2"/>
      <c r="BO14" s="25"/>
    </row>
    <row r="15" customFormat="false" ht="13.8" hidden="false" customHeight="false" outlineLevel="0" collapsed="false">
      <c r="D15" s="2"/>
      <c r="E15" s="43" t="s">
        <v>99</v>
      </c>
      <c r="F15" s="44" t="n">
        <f aca="false">IF(Dades!E97="",SUMPRODUCT(Dades!E90:E94,Dades!F90:F94),Dades!E97)</f>
        <v>0</v>
      </c>
      <c r="G15" s="2"/>
      <c r="H15" s="2"/>
      <c r="BO15" s="25"/>
    </row>
    <row r="16" customFormat="false" ht="13.8" hidden="false" customHeight="false" outlineLevel="0" collapsed="false">
      <c r="D16" s="2"/>
      <c r="E16" s="19"/>
      <c r="F16" s="19"/>
      <c r="G16" s="2"/>
      <c r="H16" s="2"/>
      <c r="BO16" s="25"/>
    </row>
    <row r="17" customFormat="false" ht="13.8" hidden="false" customHeight="false" outlineLevel="0" collapsed="false">
      <c r="D17" s="2"/>
      <c r="E17" s="2"/>
      <c r="F17" s="2"/>
      <c r="G17" s="2"/>
      <c r="H17" s="2"/>
      <c r="I17" s="2"/>
    </row>
    <row r="18" customFormat="false" ht="13.8" hidden="false" customHeight="false" outlineLevel="0" collapsed="false">
      <c r="D18" s="14" t="s">
        <v>12</v>
      </c>
      <c r="E18" s="41" t="s">
        <v>100</v>
      </c>
      <c r="F18" s="41"/>
      <c r="G18" s="2"/>
      <c r="H18" s="2"/>
      <c r="I18" s="2"/>
    </row>
    <row r="19" customFormat="false" ht="13.8" hidden="false" customHeight="false" outlineLevel="0" collapsed="false">
      <c r="D19" s="2"/>
      <c r="E19" s="2"/>
      <c r="F19" s="2"/>
      <c r="G19" s="2"/>
      <c r="H19" s="2"/>
      <c r="I19" s="2"/>
    </row>
    <row r="20" customFormat="false" ht="13.8" hidden="false" customHeight="false" outlineLevel="0" collapsed="false">
      <c r="D20" s="2"/>
      <c r="E20" s="10" t="s">
        <v>101</v>
      </c>
      <c r="F20" s="45" t="n">
        <f aca="false">(Dades!F17*IF(Dades!E17="",0,VLOOKUP(Dades!E17,canvi_us_sol,2,FALSE()))+Dades!F18*IF(Dades!E18="",0,VLOOKUP(Dades!E18,canvi_us_sol,2,FALSE()))+Dades!F19*IF(Dades!E19="",0,VLOOKUP(Dades!E19,canvi_us_sol,2,FALSE()))+Dades!F19*IF(Dades!E19="",0,VLOOKUP(Dades!E19,canvi_us_sol,2,FALSE())))/10</f>
        <v>0</v>
      </c>
      <c r="G20" s="2"/>
      <c r="H20" s="2"/>
      <c r="I20" s="2"/>
    </row>
    <row r="21" customFormat="false" ht="13.8" hidden="false" customHeight="false" outlineLevel="0" collapsed="false">
      <c r="D21" s="2"/>
      <c r="E21" s="2"/>
      <c r="F21" s="2"/>
      <c r="G21" s="2"/>
      <c r="H21" s="2"/>
      <c r="I21" s="2"/>
    </row>
    <row r="22" customFormat="false" ht="13.8" hidden="false" customHeight="false" outlineLevel="0" collapsed="false">
      <c r="D22" s="2"/>
      <c r="E22" s="10" t="s">
        <v>102</v>
      </c>
      <c r="F22" s="45" t="e">
        <f aca="false">SUM(Mobilitat!F33:J33)*1000</f>
        <v>#N/A</v>
      </c>
      <c r="G22" s="2"/>
      <c r="H22" s="2"/>
      <c r="I22" s="2"/>
    </row>
    <row r="23" customFormat="false" ht="13.8" hidden="false" customHeight="false" outlineLevel="0" collapsed="false">
      <c r="D23" s="2"/>
      <c r="E23" s="2"/>
      <c r="F23" s="2"/>
      <c r="G23" s="2"/>
      <c r="H23" s="2"/>
      <c r="I23" s="2"/>
    </row>
    <row r="24" customFormat="false" ht="13.8" hidden="false" customHeight="false" outlineLevel="0" collapsed="false">
      <c r="D24" s="2"/>
      <c r="E24" s="10" t="s">
        <v>103</v>
      </c>
      <c r="F24" s="2"/>
      <c r="G24" s="2"/>
      <c r="H24" s="2"/>
      <c r="I24" s="2"/>
    </row>
    <row r="25" customFormat="false" ht="13.8" hidden="false" customHeight="false" outlineLevel="0" collapsed="false">
      <c r="D25" s="2"/>
      <c r="E25" s="43" t="s">
        <v>104</v>
      </c>
      <c r="F25" s="46" t="n">
        <f aca="false">((Dades!F8+Dades!F9)*'Factors d''emissió'!C81)/'Previsió emissions futures'!B61</f>
        <v>0</v>
      </c>
      <c r="G25" s="2"/>
      <c r="H25" s="2"/>
      <c r="I25" s="2"/>
    </row>
    <row r="26" customFormat="false" ht="13.8" hidden="false" customHeight="false" outlineLevel="0" collapsed="false">
      <c r="D26" s="2"/>
      <c r="E26" s="43" t="s">
        <v>105</v>
      </c>
      <c r="F26" s="46" t="n">
        <f aca="false">(SUM(Dades!F10,F12:F15)*'Factors d''emissió'!C82)/'Previsió emissions futures'!B61</f>
        <v>0</v>
      </c>
      <c r="G26" s="2"/>
      <c r="H26" s="2"/>
      <c r="I26" s="2"/>
    </row>
    <row r="27" customFormat="false" ht="13.8" hidden="false" customHeight="false" outlineLevel="0" collapsed="false">
      <c r="D27" s="2"/>
      <c r="E27" s="10" t="s">
        <v>106</v>
      </c>
      <c r="F27" s="47" t="n">
        <f aca="false">F25+F26</f>
        <v>0</v>
      </c>
      <c r="G27" s="2"/>
      <c r="H27" s="2"/>
      <c r="I27" s="2"/>
    </row>
    <row r="28" customFormat="false" ht="13.8" hidden="false" customHeight="false" outlineLevel="0" collapsed="false">
      <c r="D28" s="2"/>
      <c r="E28" s="2"/>
      <c r="F28" s="2"/>
      <c r="G28" s="2"/>
      <c r="H28" s="2"/>
      <c r="I28" s="2"/>
    </row>
    <row r="29" customFormat="false" ht="13.8" hidden="false" customHeight="false" outlineLevel="0" collapsed="false">
      <c r="D29" s="2"/>
      <c r="E29" s="2"/>
      <c r="F29" s="2"/>
      <c r="G29" s="2"/>
      <c r="H29" s="2"/>
      <c r="I29" s="2"/>
    </row>
    <row r="30" customFormat="false" ht="18.55" hidden="false" customHeight="false" outlineLevel="0" collapsed="false">
      <c r="D30" s="8" t="s">
        <v>107</v>
      </c>
      <c r="E30" s="8"/>
      <c r="F30" s="8"/>
      <c r="G30" s="39"/>
      <c r="H30" s="39"/>
      <c r="I30" s="2"/>
    </row>
    <row r="31" customFormat="false" ht="18.55" hidden="false" customHeight="false" outlineLevel="0" collapsed="false">
      <c r="D31" s="2"/>
      <c r="E31" s="2"/>
      <c r="F31" s="2"/>
      <c r="G31" s="2"/>
      <c r="H31" s="2"/>
      <c r="I31" s="3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customFormat="false" ht="13.8" hidden="false" customHeight="false" outlineLevel="0" collapsed="false">
      <c r="D32" s="2"/>
      <c r="E32" s="2"/>
      <c r="F32" s="2"/>
      <c r="G32" s="2"/>
      <c r="H32" s="2"/>
      <c r="I32" s="2"/>
    </row>
    <row r="33" customFormat="false" ht="13.8" hidden="false" customHeight="false" outlineLevel="0" collapsed="false">
      <c r="D33" s="14" t="s">
        <v>17</v>
      </c>
      <c r="E33" s="41" t="s">
        <v>108</v>
      </c>
      <c r="F33" s="41"/>
      <c r="G33" s="2"/>
      <c r="H33" s="2"/>
      <c r="I33" s="2"/>
    </row>
    <row r="34" customFormat="false" ht="13.8" hidden="false" customHeight="false" outlineLevel="0" collapsed="false">
      <c r="D34" s="2"/>
      <c r="E34" s="19"/>
      <c r="F34" s="19"/>
      <c r="G34" s="19"/>
      <c r="H34" s="2"/>
      <c r="I34" s="2"/>
    </row>
    <row r="35" customFormat="false" ht="13.8" hidden="false" customHeight="false" outlineLevel="0" collapsed="false">
      <c r="D35" s="2"/>
      <c r="E35" s="10" t="s">
        <v>94</v>
      </c>
      <c r="F35" s="28" t="s">
        <v>109</v>
      </c>
      <c r="G35" s="28" t="s">
        <v>110</v>
      </c>
      <c r="H35" s="2"/>
      <c r="I35" s="2"/>
    </row>
    <row r="36" customFormat="false" ht="13.8" hidden="false" customHeight="false" outlineLevel="0" collapsed="false">
      <c r="D36" s="2"/>
      <c r="E36" s="43" t="s">
        <v>96</v>
      </c>
      <c r="F36" s="48" t="n">
        <f aca="false">F12*'Factors d''emissió'!C89</f>
        <v>0</v>
      </c>
      <c r="G36" s="48" t="e">
        <f aca="false">F36*'Factors d''emissió'!D88</f>
        <v>#N/A</v>
      </c>
      <c r="H36" s="2"/>
      <c r="I36" s="2"/>
    </row>
    <row r="37" customFormat="false" ht="13.8" hidden="false" customHeight="false" outlineLevel="0" collapsed="false">
      <c r="D37" s="2"/>
      <c r="E37" s="43" t="s">
        <v>97</v>
      </c>
      <c r="F37" s="48" t="n">
        <f aca="false">(F13*'Factors d''emissió'!C104)</f>
        <v>0</v>
      </c>
      <c r="G37" s="48" t="e">
        <f aca="false">F37*'Factors d''emissió'!D103</f>
        <v>#N/A</v>
      </c>
      <c r="H37" s="2"/>
      <c r="I37" s="2"/>
    </row>
    <row r="38" customFormat="false" ht="13.8" hidden="false" customHeight="false" outlineLevel="0" collapsed="false">
      <c r="D38" s="2"/>
      <c r="E38" s="49" t="s">
        <v>98</v>
      </c>
      <c r="F38" s="50" t="n">
        <f aca="false">(F14*'Factors d''emissió'!C119)</f>
        <v>0</v>
      </c>
      <c r="G38" s="50" t="e">
        <f aca="false">F38*'Factors d''emissió'!D118</f>
        <v>#N/A</v>
      </c>
      <c r="H38" s="2"/>
      <c r="I38" s="2"/>
    </row>
    <row r="39" customFormat="false" ht="13.8" hidden="false" customHeight="false" outlineLevel="0" collapsed="false">
      <c r="D39" s="2"/>
      <c r="E39" s="43" t="s">
        <v>99</v>
      </c>
      <c r="F39" s="48" t="n">
        <f aca="false">(F15*'Factors d''emissió'!C134)</f>
        <v>0</v>
      </c>
      <c r="G39" s="48" t="e">
        <f aca="false">F39*'Factors d''emissió'!D133</f>
        <v>#N/A</v>
      </c>
      <c r="H39" s="2"/>
      <c r="I39" s="2"/>
    </row>
    <row r="40" customFormat="false" ht="13.8" hidden="false" customHeight="false" outlineLevel="0" collapsed="false">
      <c r="D40" s="2"/>
      <c r="E40" s="43" t="s">
        <v>111</v>
      </c>
      <c r="F40" s="51" t="n">
        <f aca="false">(Dades!F8+Dades!F9+Dades!F119+Dades!F120+Dades!F121)*'Factors d''emissió'!C148+Dades!F103</f>
        <v>0</v>
      </c>
      <c r="G40" s="48" t="e">
        <f aca="false">F40*'Factors d''emissió'!C7</f>
        <v>#N/A</v>
      </c>
      <c r="H40" s="2"/>
      <c r="I40" s="2"/>
    </row>
    <row r="41" customFormat="false" ht="13.8" hidden="false" customHeight="false" outlineLevel="0" collapsed="false">
      <c r="E41" s="10" t="s">
        <v>112</v>
      </c>
      <c r="F41" s="47" t="n">
        <f aca="false">SUM(F36:F40)</f>
        <v>0</v>
      </c>
      <c r="G41" s="47" t="e">
        <f aca="false">SUM(G36:G40)</f>
        <v>#N/A</v>
      </c>
      <c r="I41" s="2"/>
    </row>
    <row r="42" customFormat="false" ht="13.8" hidden="false" customHeight="false" outlineLevel="0" collapsed="false">
      <c r="I42" s="2"/>
    </row>
    <row r="44" customFormat="false" ht="13.8" hidden="false" customHeight="false" outlineLevel="0" collapsed="false">
      <c r="D44" s="14" t="s">
        <v>27</v>
      </c>
      <c r="E44" s="41" t="s">
        <v>113</v>
      </c>
      <c r="F44" s="41"/>
      <c r="G44" s="2"/>
      <c r="H44" s="2"/>
      <c r="I44" s="2"/>
    </row>
    <row r="45" customFormat="false" ht="13.8" hidden="false" customHeight="false" outlineLevel="0" collapsed="false">
      <c r="D45" s="2"/>
      <c r="E45" s="2"/>
      <c r="F45" s="2"/>
      <c r="G45" s="2"/>
      <c r="H45" s="2"/>
      <c r="I45" s="2"/>
    </row>
    <row r="46" customFormat="false" ht="13.8" hidden="false" customHeight="false" outlineLevel="0" collapsed="false">
      <c r="D46" s="2"/>
      <c r="E46" s="52" t="s">
        <v>94</v>
      </c>
      <c r="F46" s="10" t="s">
        <v>114</v>
      </c>
      <c r="G46" s="28" t="s">
        <v>109</v>
      </c>
      <c r="H46" s="28" t="s">
        <v>110</v>
      </c>
      <c r="I46" s="2"/>
    </row>
    <row r="47" customFormat="false" ht="13.8" hidden="false" customHeight="false" outlineLevel="0" collapsed="false">
      <c r="D47" s="2"/>
      <c r="E47" s="53" t="s">
        <v>96</v>
      </c>
      <c r="F47" s="43" t="s">
        <v>115</v>
      </c>
      <c r="G47" s="48" t="e">
        <f aca="false">'Factors d''emissió'!C92*Dades!F11*365*'Factors d''emissió'!D92</f>
        <v>#N/A</v>
      </c>
      <c r="H47" s="48" t="e">
        <f aca="false">G47*'Factors d''emissió'!E92</f>
        <v>#N/A</v>
      </c>
      <c r="I47" s="2"/>
    </row>
    <row r="48" customFormat="false" ht="13.8" hidden="false" customHeight="false" outlineLevel="0" collapsed="false">
      <c r="D48" s="2"/>
      <c r="E48" s="53"/>
      <c r="F48" s="43" t="s">
        <v>116</v>
      </c>
      <c r="G48" s="48" t="e">
        <f aca="false">'Factors d''emissió'!C93*Dades!F11*365*'Factors d''emissió'!D93</f>
        <v>#N/A</v>
      </c>
      <c r="H48" s="48" t="e">
        <f aca="false">G48*'Factors d''emissió'!E93</f>
        <v>#N/A</v>
      </c>
      <c r="I48" s="2"/>
    </row>
    <row r="49" customFormat="false" ht="13.8" hidden="false" customHeight="false" outlineLevel="0" collapsed="false">
      <c r="D49" s="2"/>
      <c r="E49" s="53" t="s">
        <v>97</v>
      </c>
      <c r="F49" s="43" t="s">
        <v>115</v>
      </c>
      <c r="G49" s="48" t="e">
        <f aca="false">F13*'Factors d''emissió'!C107*'Factors d''emissió'!D107</f>
        <v>#N/A</v>
      </c>
      <c r="H49" s="48" t="e">
        <f aca="false">G49*'Factors d''emissió'!D107</f>
        <v>#N/A</v>
      </c>
      <c r="I49" s="2"/>
    </row>
    <row r="50" customFormat="false" ht="13.8" hidden="false" customHeight="false" outlineLevel="0" collapsed="false">
      <c r="D50" s="2"/>
      <c r="E50" s="53"/>
      <c r="F50" s="43" t="s">
        <v>116</v>
      </c>
      <c r="G50" s="48" t="e">
        <f aca="false">F13*'Factors d''emissió'!C108*'Factors d''emissió'!D108</f>
        <v>#N/A</v>
      </c>
      <c r="H50" s="48" t="e">
        <f aca="false">G50*'Factors d''emissió'!E108</f>
        <v>#N/A</v>
      </c>
      <c r="I50" s="2"/>
    </row>
    <row r="51" customFormat="false" ht="13.8" hidden="false" customHeight="false" outlineLevel="0" collapsed="false">
      <c r="E51" s="53" t="s">
        <v>98</v>
      </c>
      <c r="F51" s="43" t="s">
        <v>115</v>
      </c>
      <c r="G51" s="48" t="e">
        <f aca="false">F14*'Factors d''emissió'!C122*'Factors d''emissió'!D122</f>
        <v>#N/A</v>
      </c>
      <c r="H51" s="48" t="e">
        <f aca="false">G51*'Factors d''emissió'!E122</f>
        <v>#N/A</v>
      </c>
    </row>
    <row r="52" customFormat="false" ht="13.8" hidden="false" customHeight="false" outlineLevel="0" collapsed="false">
      <c r="E52" s="53"/>
      <c r="F52" s="43" t="s">
        <v>116</v>
      </c>
      <c r="G52" s="48" t="e">
        <f aca="false">F14*'Factors d''emissió'!C123*'Factors d''emissió'!D123</f>
        <v>#N/A</v>
      </c>
      <c r="H52" s="48" t="e">
        <f aca="false">G52*'Factors d''emissió'!E123</f>
        <v>#N/A</v>
      </c>
    </row>
    <row r="53" customFormat="false" ht="13.8" hidden="false" customHeight="false" outlineLevel="0" collapsed="false">
      <c r="E53" s="53" t="s">
        <v>99</v>
      </c>
      <c r="F53" s="43" t="s">
        <v>115</v>
      </c>
      <c r="G53" s="48" t="e">
        <f aca="false">F15*'Factors d''emissió'!C137*'Factors d''emissió'!D137</f>
        <v>#N/A</v>
      </c>
      <c r="H53" s="48" t="e">
        <f aca="false">G53*'Factors d''emissió'!E137</f>
        <v>#N/A</v>
      </c>
    </row>
    <row r="54" customFormat="false" ht="13.8" hidden="false" customHeight="false" outlineLevel="0" collapsed="false">
      <c r="E54" s="53"/>
      <c r="F54" s="43" t="s">
        <v>116</v>
      </c>
      <c r="G54" s="48" t="e">
        <f aca="false">F15*'Factors d''emissió'!C138*'Factors d''emissió'!D138</f>
        <v>#N/A</v>
      </c>
      <c r="H54" s="48" t="e">
        <f aca="false">G54*'Factors d''emissió'!E138</f>
        <v>#N/A</v>
      </c>
    </row>
    <row r="55" customFormat="false" ht="13.8" hidden="false" customHeight="false" outlineLevel="0" collapsed="false">
      <c r="E55" s="10" t="s">
        <v>117</v>
      </c>
      <c r="F55" s="10"/>
      <c r="G55" s="47" t="e">
        <f aca="false">SUM(G47:G54)</f>
        <v>#N/A</v>
      </c>
      <c r="H55" s="47" t="e">
        <f aca="false">SUM(H47:H54)</f>
        <v>#N/A</v>
      </c>
    </row>
    <row r="56" customFormat="false" ht="13.8" hidden="false" customHeight="false" outlineLevel="0" collapsed="false">
      <c r="E56" s="54"/>
      <c r="F56" s="19"/>
      <c r="G56" s="19"/>
      <c r="H56" s="19"/>
    </row>
    <row r="58" customFormat="false" ht="13.8" hidden="false" customHeight="false" outlineLevel="0" collapsed="false">
      <c r="D58" s="14" t="s">
        <v>32</v>
      </c>
      <c r="E58" s="41" t="s">
        <v>118</v>
      </c>
      <c r="F58" s="41"/>
      <c r="G58" s="2"/>
    </row>
    <row r="59" customFormat="false" ht="14.85" hidden="false" customHeight="true" outlineLevel="0" collapsed="false">
      <c r="D59" s="2"/>
      <c r="E59" s="2"/>
      <c r="F59" s="2"/>
      <c r="G59" s="2"/>
      <c r="H59" s="1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customFormat="false" ht="15.9" hidden="false" customHeight="true" outlineLevel="0" collapsed="false">
      <c r="D60" s="2"/>
      <c r="E60" s="52" t="s">
        <v>94</v>
      </c>
      <c r="F60" s="28" t="s">
        <v>110</v>
      </c>
      <c r="G60" s="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customFormat="false" ht="15.75" hidden="false" customHeight="true" outlineLevel="0" collapsed="false">
      <c r="D61" s="2"/>
      <c r="E61" s="43" t="s">
        <v>96</v>
      </c>
      <c r="F61" s="55" t="e">
        <f aca="false">'Factors d''emissió'!C96*'Factors d''emissió'!C97*Dades!F11</f>
        <v>#N/A</v>
      </c>
      <c r="G61" s="2"/>
      <c r="T61" s="7"/>
    </row>
    <row r="62" customFormat="false" ht="13.8" hidden="false" customHeight="false" outlineLevel="0" collapsed="false">
      <c r="D62" s="2"/>
      <c r="E62" s="43" t="s">
        <v>97</v>
      </c>
      <c r="F62" s="55" t="e">
        <f aca="false">F13*'Factors d''emissió'!C111*'Factors d''emissió'!C112</f>
        <v>#N/A</v>
      </c>
      <c r="G62" s="2"/>
    </row>
    <row r="63" customFormat="false" ht="13.8" hidden="false" customHeight="false" outlineLevel="0" collapsed="false">
      <c r="E63" s="43" t="s">
        <v>98</v>
      </c>
      <c r="F63" s="55" t="e">
        <f aca="false">F14*'Factors d''emissió'!C126*'Factors d''emissió'!C127</f>
        <v>#N/A</v>
      </c>
    </row>
    <row r="64" customFormat="false" ht="15.9" hidden="false" customHeight="true" outlineLevel="0" collapsed="false">
      <c r="E64" s="43" t="s">
        <v>99</v>
      </c>
      <c r="F64" s="55" t="e">
        <f aca="false">F15*'Factors d''emissió'!C141*'Factors d''emissió'!C142</f>
        <v>#N/A</v>
      </c>
    </row>
    <row r="65" customFormat="false" ht="15.9" hidden="false" customHeight="true" outlineLevel="0" collapsed="false">
      <c r="E65" s="10" t="s">
        <v>119</v>
      </c>
      <c r="F65" s="47" t="e">
        <f aca="false">SUM(F61:F64)</f>
        <v>#N/A</v>
      </c>
      <c r="R65" s="7"/>
      <c r="S65" s="7"/>
    </row>
    <row r="66" customFormat="false" ht="15.9" hidden="false" customHeight="true" outlineLevel="0" collapsed="false">
      <c r="E66" s="56"/>
      <c r="F66" s="57"/>
      <c r="R66" s="7"/>
      <c r="S66" s="7"/>
    </row>
    <row r="67" customFormat="false" ht="18.55" hidden="false" customHeight="false" outlineLevel="0" collapsed="false">
      <c r="R67" s="7"/>
      <c r="S67" s="7"/>
    </row>
    <row r="68" customFormat="false" ht="18.55" hidden="false" customHeight="false" outlineLevel="0" collapsed="false">
      <c r="D68" s="8" t="s">
        <v>120</v>
      </c>
      <c r="E68" s="8"/>
      <c r="F68" s="8"/>
      <c r="G68" s="39"/>
      <c r="K68" s="7"/>
      <c r="L68" s="7"/>
      <c r="M68" s="7"/>
      <c r="N68" s="7"/>
      <c r="O68" s="7"/>
      <c r="P68" s="7"/>
      <c r="Q68" s="7"/>
    </row>
    <row r="69" customFormat="false" ht="18.55" hidden="false" customHeight="false" outlineLevel="0" collapsed="false">
      <c r="D69" s="2"/>
      <c r="E69" s="2"/>
      <c r="F69" s="2"/>
      <c r="G69" s="39"/>
      <c r="K69" s="7"/>
      <c r="L69" s="7"/>
      <c r="M69" s="7"/>
      <c r="N69" s="7"/>
      <c r="O69" s="7"/>
      <c r="P69" s="7"/>
      <c r="Q69" s="7"/>
    </row>
    <row r="70" customFormat="false" ht="13.8" hidden="false" customHeight="false" outlineLevel="0" collapsed="false">
      <c r="D70" s="2"/>
      <c r="E70" s="2"/>
      <c r="F70" s="2"/>
      <c r="G70" s="2"/>
    </row>
    <row r="71" customFormat="false" ht="13.8" hidden="false" customHeight="false" outlineLevel="0" collapsed="false">
      <c r="D71" s="14" t="s">
        <v>47</v>
      </c>
      <c r="E71" s="41" t="s">
        <v>121</v>
      </c>
      <c r="F71" s="41"/>
      <c r="G71" s="2"/>
    </row>
    <row r="72" customFormat="false" ht="13.8" hidden="false" customHeight="false" outlineLevel="0" collapsed="false">
      <c r="D72" s="2"/>
      <c r="G72" s="2"/>
    </row>
    <row r="73" customFormat="false" ht="13.8" hidden="false" customHeight="false" outlineLevel="0" collapsed="false">
      <c r="D73" s="2"/>
      <c r="E73" s="10" t="s">
        <v>122</v>
      </c>
      <c r="F73" s="55" t="e">
        <f aca="false">F20+F22+F27+G41+H55+F65</f>
        <v>#N/A</v>
      </c>
      <c r="G73" s="2"/>
    </row>
    <row r="74" customFormat="false" ht="13.8" hidden="false" customHeight="false" outlineLevel="0" collapsed="false">
      <c r="D74" s="2"/>
      <c r="G74" s="2"/>
    </row>
    <row r="75" customFormat="false" ht="18.55" hidden="false" customHeight="false" outlineLevel="0" collapsed="false">
      <c r="D75" s="2"/>
      <c r="E75" s="58" t="s">
        <v>123</v>
      </c>
      <c r="F75" s="59" t="e">
        <f aca="false">F73/1000</f>
        <v>#N/A</v>
      </c>
      <c r="G75" s="2"/>
    </row>
    <row r="76" customFormat="false" ht="13.8" hidden="false" customHeight="false" outlineLevel="0" collapsed="false">
      <c r="D76" s="2"/>
      <c r="E76" s="2"/>
      <c r="F76" s="2"/>
      <c r="G76" s="2"/>
    </row>
    <row r="78" customFormat="false" ht="13.8" hidden="false" customHeight="false" outlineLevel="0" collapsed="false">
      <c r="D78" s="14" t="s">
        <v>51</v>
      </c>
      <c r="E78" s="41" t="s">
        <v>124</v>
      </c>
      <c r="F78" s="41"/>
      <c r="G78" s="2"/>
    </row>
    <row r="79" customFormat="false" ht="13.8" hidden="false" customHeight="false" outlineLevel="0" collapsed="false">
      <c r="D79" s="2"/>
      <c r="E79" s="2"/>
      <c r="F79" s="2"/>
      <c r="G79" s="2"/>
      <c r="J79" s="60"/>
    </row>
    <row r="80" customFormat="false" ht="13.8" hidden="false" customHeight="false" outlineLevel="0" collapsed="false">
      <c r="E80" s="52" t="s">
        <v>125</v>
      </c>
      <c r="F80" s="28" t="s">
        <v>126</v>
      </c>
      <c r="G80" s="28" t="s">
        <v>127</v>
      </c>
      <c r="J80" s="60"/>
    </row>
    <row r="81" customFormat="false" ht="13.8" hidden="false" customHeight="false" outlineLevel="0" collapsed="false">
      <c r="E81" s="43" t="s">
        <v>128</v>
      </c>
      <c r="F81" s="48" t="e">
        <f aca="false">G36</f>
        <v>#N/A</v>
      </c>
      <c r="G81" s="61" t="e">
        <f aca="false">IF(F81=0,0,F81/$F$84)</f>
        <v>#N/A</v>
      </c>
      <c r="J81" s="60"/>
    </row>
    <row r="82" customFormat="false" ht="13.8" hidden="false" customHeight="false" outlineLevel="0" collapsed="false">
      <c r="E82" s="43" t="s">
        <v>129</v>
      </c>
      <c r="F82" s="48" t="e">
        <f aca="false">H47+H48</f>
        <v>#N/A</v>
      </c>
      <c r="G82" s="61" t="e">
        <f aca="false">IF(F82=0,0,F82/$F$84)</f>
        <v>#N/A</v>
      </c>
      <c r="J82" s="60"/>
    </row>
    <row r="83" customFormat="false" ht="13.8" hidden="false" customHeight="false" outlineLevel="0" collapsed="false">
      <c r="E83" s="43" t="s">
        <v>130</v>
      </c>
      <c r="F83" s="48" t="e">
        <f aca="false">F61</f>
        <v>#N/A</v>
      </c>
      <c r="G83" s="61" t="e">
        <f aca="false">IF(F83=0,0,F83/$F$84)</f>
        <v>#N/A</v>
      </c>
      <c r="J83" s="60"/>
    </row>
    <row r="84" customFormat="false" ht="13.8" hidden="false" customHeight="false" outlineLevel="0" collapsed="false">
      <c r="E84" s="10" t="s">
        <v>131</v>
      </c>
      <c r="F84" s="45" t="e">
        <f aca="false">SUM(F81:F83)</f>
        <v>#N/A</v>
      </c>
      <c r="G84" s="62"/>
      <c r="J84" s="60"/>
    </row>
    <row r="85" customFormat="false" ht="13.8" hidden="false" customHeight="false" outlineLevel="0" collapsed="false">
      <c r="D85" s="2"/>
      <c r="E85" s="2"/>
      <c r="F85" s="63"/>
      <c r="G85" s="63"/>
      <c r="J85" s="60"/>
    </row>
    <row r="86" customFormat="false" ht="13.8" hidden="false" customHeight="false" outlineLevel="0" collapsed="false">
      <c r="D86" s="2"/>
      <c r="E86" s="52" t="s">
        <v>97</v>
      </c>
      <c r="F86" s="28" t="s">
        <v>126</v>
      </c>
      <c r="G86" s="28" t="s">
        <v>127</v>
      </c>
      <c r="J86" s="60"/>
    </row>
    <row r="87" customFormat="false" ht="13.8" hidden="false" customHeight="false" outlineLevel="0" collapsed="false">
      <c r="E87" s="43" t="s">
        <v>128</v>
      </c>
      <c r="F87" s="48" t="e">
        <f aca="false">G37</f>
        <v>#N/A</v>
      </c>
      <c r="G87" s="61" t="e">
        <f aca="false">IF(F87=0,0,F87/$F$90)</f>
        <v>#N/A</v>
      </c>
    </row>
    <row r="88" customFormat="false" ht="13.8" hidden="false" customHeight="false" outlineLevel="0" collapsed="false">
      <c r="E88" s="43" t="s">
        <v>129</v>
      </c>
      <c r="F88" s="48" t="e">
        <f aca="false">H49+H50</f>
        <v>#N/A</v>
      </c>
      <c r="G88" s="61" t="e">
        <f aca="false">IF(F88=0,0,F88/$F$90)</f>
        <v>#N/A</v>
      </c>
    </row>
    <row r="89" customFormat="false" ht="13.8" hidden="false" customHeight="false" outlineLevel="0" collapsed="false">
      <c r="E89" s="43" t="s">
        <v>130</v>
      </c>
      <c r="F89" s="48" t="e">
        <f aca="false">F62</f>
        <v>#N/A</v>
      </c>
      <c r="G89" s="61" t="e">
        <f aca="false">IF(F89=0,0,F89/$F$90)</f>
        <v>#N/A</v>
      </c>
    </row>
    <row r="90" customFormat="false" ht="13.8" hidden="false" customHeight="false" outlineLevel="0" collapsed="false">
      <c r="E90" s="10" t="s">
        <v>131</v>
      </c>
      <c r="F90" s="45" t="e">
        <f aca="false">SUM(F87:F89)</f>
        <v>#N/A</v>
      </c>
      <c r="G90" s="62"/>
    </row>
    <row r="92" customFormat="false" ht="13.8" hidden="false" customHeight="false" outlineLevel="0" collapsed="false">
      <c r="E92" s="52" t="s">
        <v>132</v>
      </c>
      <c r="F92" s="28" t="s">
        <v>126</v>
      </c>
      <c r="G92" s="28" t="s">
        <v>127</v>
      </c>
    </row>
    <row r="93" customFormat="false" ht="13.8" hidden="false" customHeight="false" outlineLevel="0" collapsed="false">
      <c r="E93" s="43" t="s">
        <v>128</v>
      </c>
      <c r="F93" s="48" t="e">
        <f aca="false">G38</f>
        <v>#N/A</v>
      </c>
      <c r="G93" s="61" t="e">
        <f aca="false">IF(F93=0,0,F93/$F$96)</f>
        <v>#N/A</v>
      </c>
    </row>
    <row r="94" customFormat="false" ht="13.8" hidden="false" customHeight="false" outlineLevel="0" collapsed="false">
      <c r="E94" s="43" t="s">
        <v>129</v>
      </c>
      <c r="F94" s="48" t="e">
        <f aca="false">H51+H52</f>
        <v>#N/A</v>
      </c>
      <c r="G94" s="61" t="e">
        <f aca="false">IF(F94=0,0,F94/$F$96)</f>
        <v>#N/A</v>
      </c>
    </row>
    <row r="95" customFormat="false" ht="13.8" hidden="false" customHeight="false" outlineLevel="0" collapsed="false">
      <c r="E95" s="43" t="s">
        <v>130</v>
      </c>
      <c r="F95" s="48" t="e">
        <f aca="false">F63</f>
        <v>#N/A</v>
      </c>
      <c r="G95" s="61" t="e">
        <f aca="false">IF(F95=0,0,F95/$F$96)</f>
        <v>#N/A</v>
      </c>
    </row>
    <row r="96" customFormat="false" ht="13.8" hidden="false" customHeight="false" outlineLevel="0" collapsed="false">
      <c r="E96" s="10" t="s">
        <v>131</v>
      </c>
      <c r="F96" s="45" t="e">
        <f aca="false">SUM(F93:F95)</f>
        <v>#N/A</v>
      </c>
      <c r="G96" s="62"/>
    </row>
    <row r="98" customFormat="false" ht="13.8" hidden="false" customHeight="false" outlineLevel="0" collapsed="false">
      <c r="E98" s="52" t="s">
        <v>133</v>
      </c>
      <c r="F98" s="28" t="s">
        <v>126</v>
      </c>
      <c r="G98" s="28" t="s">
        <v>127</v>
      </c>
    </row>
    <row r="99" customFormat="false" ht="13.8" hidden="false" customHeight="false" outlineLevel="0" collapsed="false">
      <c r="E99" s="43" t="s">
        <v>128</v>
      </c>
      <c r="F99" s="48" t="e">
        <f aca="false">G39</f>
        <v>#N/A</v>
      </c>
      <c r="G99" s="61" t="e">
        <f aca="false">IF(F99=0,0,F99/$F$102)</f>
        <v>#N/A</v>
      </c>
    </row>
    <row r="100" customFormat="false" ht="13.8" hidden="false" customHeight="false" outlineLevel="0" collapsed="false">
      <c r="E100" s="43" t="s">
        <v>129</v>
      </c>
      <c r="F100" s="48" t="e">
        <f aca="false">H53+H54</f>
        <v>#N/A</v>
      </c>
      <c r="G100" s="61" t="e">
        <f aca="false">IF(F100=0,0,F100/$F$102)</f>
        <v>#N/A</v>
      </c>
    </row>
    <row r="101" customFormat="false" ht="13.8" hidden="false" customHeight="false" outlineLevel="0" collapsed="false">
      <c r="E101" s="43" t="s">
        <v>130</v>
      </c>
      <c r="F101" s="48" t="e">
        <f aca="false">F64</f>
        <v>#N/A</v>
      </c>
      <c r="G101" s="61" t="e">
        <f aca="false">IF(F101=0,0,F101/$F$102)</f>
        <v>#N/A</v>
      </c>
    </row>
    <row r="102" customFormat="false" ht="13.8" hidden="false" customHeight="false" outlineLevel="0" collapsed="false">
      <c r="E102" s="10" t="s">
        <v>131</v>
      </c>
      <c r="F102" s="45" t="e">
        <f aca="false">SUM(F99:F101)</f>
        <v>#N/A</v>
      </c>
      <c r="G102" s="62"/>
    </row>
    <row r="104" customFormat="false" ht="13.8" hidden="false" customHeight="false" outlineLevel="0" collapsed="false">
      <c r="E104" s="52" t="s">
        <v>111</v>
      </c>
      <c r="F104" s="52" t="s">
        <v>126</v>
      </c>
      <c r="G104" s="64"/>
    </row>
    <row r="105" customFormat="false" ht="13.8" hidden="false" customHeight="false" outlineLevel="0" collapsed="false">
      <c r="E105" s="10" t="s">
        <v>131</v>
      </c>
      <c r="F105" s="65" t="e">
        <f aca="false">G40</f>
        <v>#N/A</v>
      </c>
      <c r="G105" s="62"/>
    </row>
    <row r="108" customFormat="false" ht="13.8" hidden="false" customHeight="false" outlineLevel="0" collapsed="false">
      <c r="E108" s="52" t="s">
        <v>134</v>
      </c>
      <c r="F108" s="28" t="s">
        <v>126</v>
      </c>
      <c r="G108" s="28" t="s">
        <v>127</v>
      </c>
    </row>
    <row r="109" customFormat="false" ht="13.8" hidden="false" customHeight="false" outlineLevel="0" collapsed="false">
      <c r="E109" s="43" t="s">
        <v>128</v>
      </c>
      <c r="F109" s="48" t="e">
        <f aca="false">F81+F87+F93+F99+F105</f>
        <v>#N/A</v>
      </c>
      <c r="G109" s="61" t="e">
        <f aca="false">IF(F109=0,0,F109/$F$112)</f>
        <v>#N/A</v>
      </c>
    </row>
    <row r="110" customFormat="false" ht="13.8" hidden="false" customHeight="false" outlineLevel="0" collapsed="false">
      <c r="E110" s="43" t="s">
        <v>129</v>
      </c>
      <c r="F110" s="48" t="e">
        <f aca="false">F82+F88+F94+F100</f>
        <v>#N/A</v>
      </c>
      <c r="G110" s="61" t="e">
        <f aca="false">IF(F110=0,0,F110/$F$112)</f>
        <v>#N/A</v>
      </c>
    </row>
    <row r="111" customFormat="false" ht="13.8" hidden="false" customHeight="false" outlineLevel="0" collapsed="false">
      <c r="E111" s="43" t="s">
        <v>130</v>
      </c>
      <c r="F111" s="48" t="e">
        <f aca="false">F83+F89+F95+F101</f>
        <v>#N/A</v>
      </c>
      <c r="G111" s="61" t="e">
        <f aca="false">IF(F111=0,0,F111/$F$112)</f>
        <v>#N/A</v>
      </c>
    </row>
    <row r="112" customFormat="false" ht="13.8" hidden="false" customHeight="false" outlineLevel="0" collapsed="false">
      <c r="E112" s="10" t="s">
        <v>131</v>
      </c>
      <c r="F112" s="45" t="e">
        <f aca="false">SUM(F109:F111)</f>
        <v>#N/A</v>
      </c>
      <c r="G112" s="62"/>
    </row>
    <row r="114" customFormat="false" ht="13.8" hidden="false" customHeight="false" outlineLevel="0" collapsed="false">
      <c r="E114" s="52" t="s">
        <v>135</v>
      </c>
      <c r="F114" s="28" t="s">
        <v>126</v>
      </c>
      <c r="G114" s="28" t="s">
        <v>127</v>
      </c>
    </row>
    <row r="115" customFormat="false" ht="13.8" hidden="false" customHeight="false" outlineLevel="0" collapsed="false">
      <c r="E115" s="43" t="s">
        <v>96</v>
      </c>
      <c r="F115" s="48" t="e">
        <f aca="false">G36</f>
        <v>#N/A</v>
      </c>
      <c r="G115" s="61" t="e">
        <f aca="false">IF(F115=0,0,F115/$F$120)</f>
        <v>#N/A</v>
      </c>
    </row>
    <row r="116" customFormat="false" ht="13.8" hidden="false" customHeight="false" outlineLevel="0" collapsed="false">
      <c r="E116" s="43" t="s">
        <v>97</v>
      </c>
      <c r="F116" s="48" t="e">
        <f aca="false">G37</f>
        <v>#N/A</v>
      </c>
      <c r="G116" s="61" t="e">
        <f aca="false">IF(F116=0,0,F116/$F$120)</f>
        <v>#N/A</v>
      </c>
    </row>
    <row r="117" customFormat="false" ht="13.8" hidden="false" customHeight="false" outlineLevel="0" collapsed="false">
      <c r="E117" s="43" t="s">
        <v>98</v>
      </c>
      <c r="F117" s="48" t="e">
        <f aca="false">G38</f>
        <v>#N/A</v>
      </c>
      <c r="G117" s="61" t="e">
        <f aca="false">IF(F117=0,0,F117/$F$120)</f>
        <v>#N/A</v>
      </c>
    </row>
    <row r="118" customFormat="false" ht="13.8" hidden="false" customHeight="false" outlineLevel="0" collapsed="false">
      <c r="E118" s="43" t="s">
        <v>99</v>
      </c>
      <c r="F118" s="48" t="e">
        <f aca="false">G39</f>
        <v>#N/A</v>
      </c>
      <c r="G118" s="61" t="e">
        <f aca="false">IF(F118=0,0,F118/$F$120)</f>
        <v>#N/A</v>
      </c>
    </row>
    <row r="119" customFormat="false" ht="13.8" hidden="false" customHeight="false" outlineLevel="0" collapsed="false">
      <c r="E119" s="43" t="s">
        <v>111</v>
      </c>
      <c r="F119" s="48" t="e">
        <f aca="false">F105</f>
        <v>#N/A</v>
      </c>
      <c r="G119" s="61" t="e">
        <f aca="false">IF(F119=0,0,F119/$F$120)</f>
        <v>#N/A</v>
      </c>
    </row>
    <row r="120" customFormat="false" ht="13.8" hidden="false" customHeight="false" outlineLevel="0" collapsed="false">
      <c r="E120" s="10" t="s">
        <v>131</v>
      </c>
      <c r="F120" s="45" t="e">
        <f aca="false">SUM(F115:F119)</f>
        <v>#N/A</v>
      </c>
      <c r="G120" s="62"/>
    </row>
    <row r="123" customFormat="false" ht="18.55" hidden="false" customHeight="false" outlineLevel="0" collapsed="false">
      <c r="D123" s="5"/>
    </row>
    <row r="126" customFormat="false" ht="13.8" hidden="false" customHeight="false" outlineLevel="0" collapsed="false">
      <c r="E126" s="66"/>
      <c r="F126" s="66"/>
    </row>
    <row r="127" customFormat="false" ht="13.8" hidden="false" customHeight="false" outlineLevel="0" collapsed="false">
      <c r="E127" s="67"/>
      <c r="F127" s="68"/>
    </row>
    <row r="128" customFormat="false" ht="13.8" hidden="false" customHeight="false" outlineLevel="0" collapsed="false">
      <c r="E128" s="67"/>
      <c r="F128" s="68"/>
    </row>
    <row r="129" customFormat="false" ht="13.8" hidden="false" customHeight="false" outlineLevel="0" collapsed="false">
      <c r="E129" s="67"/>
      <c r="F129" s="68"/>
    </row>
    <row r="130" customFormat="false" ht="13.8" hidden="false" customHeight="false" outlineLevel="0" collapsed="false">
      <c r="E130" s="67"/>
      <c r="F130" s="68"/>
    </row>
    <row r="131" customFormat="false" ht="13.8" hidden="false" customHeight="false" outlineLevel="0" collapsed="false">
      <c r="E131" s="67"/>
      <c r="F131" s="68"/>
    </row>
    <row r="132" customFormat="false" ht="13.8" hidden="false" customHeight="false" outlineLevel="0" collapsed="false">
      <c r="E132" s="67"/>
      <c r="F132" s="68"/>
    </row>
    <row r="133" customFormat="false" ht="13.8" hidden="false" customHeight="false" outlineLevel="0" collapsed="false">
      <c r="E133" s="67"/>
      <c r="F133" s="68"/>
    </row>
    <row r="134" customFormat="false" ht="13.8" hidden="false" customHeight="false" outlineLevel="0" collapsed="false">
      <c r="E134" s="67"/>
      <c r="F134" s="68"/>
    </row>
    <row r="135" customFormat="false" ht="13.8" hidden="false" customHeight="false" outlineLevel="0" collapsed="false">
      <c r="E135" s="67"/>
      <c r="F135" s="68"/>
    </row>
    <row r="136" customFormat="false" ht="13.8" hidden="false" customHeight="false" outlineLevel="0" collapsed="false">
      <c r="E136" s="67"/>
      <c r="F136" s="68"/>
    </row>
    <row r="137" customFormat="false" ht="13.8" hidden="false" customHeight="false" outlineLevel="0" collapsed="false">
      <c r="E137" s="67"/>
      <c r="F137" s="68"/>
    </row>
    <row r="138" customFormat="false" ht="13.8" hidden="false" customHeight="false" outlineLevel="0" collapsed="false">
      <c r="E138" s="67"/>
      <c r="F138" s="68"/>
    </row>
    <row r="139" customFormat="false" ht="13.8" hidden="false" customHeight="false" outlineLevel="0" collapsed="false">
      <c r="E139" s="67"/>
      <c r="F139" s="68"/>
    </row>
    <row r="140" customFormat="false" ht="13.8" hidden="false" customHeight="false" outlineLevel="0" collapsed="false">
      <c r="C140" s="69"/>
      <c r="D140" s="70"/>
      <c r="E140" s="71"/>
      <c r="F140" s="72"/>
      <c r="G140" s="70"/>
      <c r="H140" s="70"/>
    </row>
    <row r="141" customFormat="false" ht="13.8" hidden="false" customHeight="false" outlineLevel="0" collapsed="false">
      <c r="C141" s="69"/>
      <c r="D141" s="70"/>
      <c r="E141" s="71"/>
      <c r="F141" s="72"/>
      <c r="G141" s="70"/>
      <c r="H141" s="70"/>
    </row>
    <row r="142" customFormat="false" ht="13.8" hidden="false" customHeight="false" outlineLevel="0" collapsed="false">
      <c r="C142" s="69"/>
      <c r="D142" s="70"/>
      <c r="E142" s="71"/>
      <c r="F142" s="72"/>
      <c r="G142" s="70"/>
      <c r="H142" s="70"/>
    </row>
    <row r="143" customFormat="false" ht="13.8" hidden="false" customHeight="false" outlineLevel="0" collapsed="false">
      <c r="E143" s="67"/>
      <c r="F143" s="68"/>
    </row>
    <row r="144" customFormat="false" ht="13.8" hidden="false" customHeight="false" outlineLevel="0" collapsed="false">
      <c r="E144" s="67"/>
      <c r="F144" s="68"/>
    </row>
    <row r="145" customFormat="false" ht="13.8" hidden="false" customHeight="false" outlineLevel="0" collapsed="false">
      <c r="E145" s="67"/>
      <c r="F145" s="68"/>
    </row>
    <row r="146" customFormat="false" ht="13.8" hidden="false" customHeight="false" outlineLevel="0" collapsed="false">
      <c r="E146" s="67"/>
      <c r="F146" s="68"/>
    </row>
    <row r="147" customFormat="false" ht="13.8" hidden="false" customHeight="false" outlineLevel="0" collapsed="false">
      <c r="E147" s="67"/>
      <c r="F147" s="68"/>
    </row>
    <row r="148" customFormat="false" ht="13.8" hidden="false" customHeight="false" outlineLevel="0" collapsed="false">
      <c r="E148" s="67"/>
      <c r="F148" s="38" t="s">
        <v>87</v>
      </c>
    </row>
    <row r="149" customFormat="false" ht="13.8" hidden="false" customHeight="false" outlineLevel="0" collapsed="false">
      <c r="E149" s="67"/>
      <c r="F149" s="38" t="s">
        <v>88</v>
      </c>
    </row>
    <row r="150" customFormat="false" ht="13.8" hidden="false" customHeight="false" outlineLevel="0" collapsed="false">
      <c r="E150" s="67"/>
      <c r="F150" s="38" t="s">
        <v>89</v>
      </c>
    </row>
    <row r="151" customFormat="false" ht="13.8" hidden="false" customHeight="false" outlineLevel="0" collapsed="false">
      <c r="E151" s="67"/>
      <c r="F151" s="38" t="s">
        <v>90</v>
      </c>
    </row>
    <row r="152" customFormat="false" ht="13.8" hidden="false" customHeight="false" outlineLevel="0" collapsed="false">
      <c r="E152" s="67"/>
      <c r="F152" s="68"/>
    </row>
    <row r="153" customFormat="false" ht="13.8" hidden="false" customHeight="false" outlineLevel="0" collapsed="false">
      <c r="E153" s="67"/>
      <c r="F153" s="68"/>
    </row>
    <row r="154" customFormat="false" ht="13.8" hidden="false" customHeight="false" outlineLevel="0" collapsed="false">
      <c r="E154" s="67"/>
      <c r="F154" s="68"/>
    </row>
    <row r="155" customFormat="false" ht="13.8" hidden="false" customHeight="false" outlineLevel="0" collapsed="false">
      <c r="E155" s="67"/>
      <c r="F155" s="68"/>
    </row>
    <row r="156" customFormat="false" ht="13.8" hidden="false" customHeight="false" outlineLevel="0" collapsed="false">
      <c r="E156" s="67"/>
      <c r="F156" s="68"/>
    </row>
    <row r="157" customFormat="false" ht="13.8" hidden="false" customHeight="false" outlineLevel="0" collapsed="false">
      <c r="E157" s="67"/>
      <c r="F157" s="68"/>
    </row>
  </sheetData>
  <sheetProtection sheet="true" password="e929" objects="true" scenarios="true"/>
  <mergeCells count="15">
    <mergeCell ref="D2:F2"/>
    <mergeCell ref="E9:F9"/>
    <mergeCell ref="E18:F18"/>
    <mergeCell ref="D30:F30"/>
    <mergeCell ref="E33:F33"/>
    <mergeCell ref="E44:F44"/>
    <mergeCell ref="E47:E48"/>
    <mergeCell ref="E49:E50"/>
    <mergeCell ref="E51:E52"/>
    <mergeCell ref="E53:E54"/>
    <mergeCell ref="E55:F55"/>
    <mergeCell ref="E58:F58"/>
    <mergeCell ref="D68:F68"/>
    <mergeCell ref="E71:F71"/>
    <mergeCell ref="E78:F7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1:BO13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3.89"/>
    <col collapsed="false" customWidth="true" hidden="false" outlineLevel="0" max="2" min="2" style="1" width="6.05"/>
    <col collapsed="false" customWidth="true" hidden="false" outlineLevel="0" max="3" min="3" style="1" width="3.89"/>
    <col collapsed="false" customWidth="true" hidden="false" outlineLevel="0" max="4" min="4" style="4" width="11.89"/>
    <col collapsed="false" customWidth="true" hidden="false" outlineLevel="0" max="5" min="5" style="4" width="41.56"/>
    <col collapsed="false" customWidth="true" hidden="false" outlineLevel="0" max="6" min="6" style="4" width="36.45"/>
    <col collapsed="false" customWidth="true" hidden="false" outlineLevel="0" max="7" min="7" style="4" width="32.66"/>
    <col collapsed="false" customWidth="true" hidden="false" outlineLevel="0" max="8" min="8" style="4" width="21.66"/>
    <col collapsed="false" customWidth="true" hidden="false" outlineLevel="0" max="11" min="9" style="4" width="16.89"/>
    <col collapsed="false" customWidth="true" hidden="false" outlineLevel="0" max="67" min="12" style="4" width="11.57"/>
    <col collapsed="false" customWidth="true" hidden="false" outlineLevel="0" max="1025" min="68" style="1" width="8.67"/>
  </cols>
  <sheetData>
    <row r="1" customFormat="false" ht="18.55" hidden="false" customHeight="false" outlineLevel="0" collapsed="false">
      <c r="D1" s="5"/>
      <c r="E1" s="5"/>
      <c r="F1" s="5"/>
      <c r="G1" s="39"/>
      <c r="H1" s="39"/>
      <c r="I1" s="3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customFormat="false" ht="18.55" hidden="false" customHeight="false" outlineLevel="0" collapsed="false">
      <c r="D2" s="8" t="s">
        <v>91</v>
      </c>
      <c r="E2" s="8"/>
      <c r="F2" s="8"/>
      <c r="G2" s="39"/>
      <c r="H2" s="39"/>
      <c r="I2" s="3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customFormat="false" ht="13.8" hidden="false" customHeight="false" outlineLevel="0" collapsed="false">
      <c r="D3" s="2"/>
      <c r="E3" s="2"/>
      <c r="F3" s="2"/>
      <c r="G3" s="2"/>
      <c r="H3" s="2"/>
      <c r="I3" s="2"/>
    </row>
    <row r="4" customFormat="false" ht="13.8" hidden="false" customHeight="false" outlineLevel="0" collapsed="false">
      <c r="D4" s="2"/>
      <c r="E4" s="2"/>
      <c r="F4" s="2"/>
      <c r="G4" s="2"/>
      <c r="H4" s="2"/>
      <c r="I4" s="2"/>
    </row>
    <row r="5" customFormat="false" ht="13.8" hidden="false" customHeight="false" outlineLevel="0" collapsed="false">
      <c r="D5" s="2"/>
      <c r="E5" s="10" t="s">
        <v>1</v>
      </c>
      <c r="F5" s="40" t="n">
        <f aca="false">'Emissions CO2'!F5</f>
        <v>0</v>
      </c>
      <c r="G5" s="2"/>
      <c r="H5" s="2"/>
      <c r="I5" s="2"/>
    </row>
    <row r="6" customFormat="false" ht="13.8" hidden="false" customHeight="false" outlineLevel="0" collapsed="false">
      <c r="D6" s="2"/>
      <c r="E6" s="10" t="s">
        <v>92</v>
      </c>
      <c r="F6" s="40" t="e">
        <f aca="false">VLOOKUP(F5,illa,2,FALSE())</f>
        <v>#N/A</v>
      </c>
      <c r="G6" s="2"/>
      <c r="H6" s="2"/>
      <c r="I6" s="2"/>
    </row>
    <row r="7" customFormat="false" ht="13.8" hidden="false" customHeight="false" outlineLevel="0" collapsed="false">
      <c r="D7" s="2"/>
      <c r="E7" s="2"/>
      <c r="F7" s="2"/>
      <c r="G7" s="2"/>
      <c r="H7" s="2"/>
      <c r="I7" s="2"/>
    </row>
    <row r="8" customFormat="false" ht="13.8" hidden="false" customHeight="false" outlineLevel="0" collapsed="false">
      <c r="D8" s="2"/>
      <c r="E8" s="2"/>
      <c r="F8" s="2"/>
      <c r="G8" s="2"/>
      <c r="H8" s="2"/>
      <c r="I8" s="2"/>
    </row>
    <row r="9" customFormat="false" ht="18.55" hidden="false" customHeight="false" outlineLevel="0" collapsed="false">
      <c r="D9" s="8" t="s">
        <v>136</v>
      </c>
      <c r="E9" s="8"/>
      <c r="F9" s="8"/>
      <c r="G9" s="2"/>
      <c r="H9" s="2"/>
      <c r="I9" s="2"/>
    </row>
    <row r="10" customFormat="false" ht="13.8" hidden="false" customHeight="false" outlineLevel="0" collapsed="false">
      <c r="D10" s="2"/>
      <c r="E10" s="42"/>
      <c r="F10" s="2"/>
      <c r="G10" s="2"/>
      <c r="H10" s="2"/>
      <c r="I10" s="2"/>
    </row>
    <row r="11" customFormat="false" ht="13.8" hidden="false" customHeight="false" outlineLevel="0" collapsed="false">
      <c r="D11" s="14" t="s">
        <v>17</v>
      </c>
      <c r="E11" s="41" t="s">
        <v>137</v>
      </c>
      <c r="F11" s="41"/>
      <c r="G11" s="66"/>
      <c r="H11" s="2"/>
      <c r="BO11" s="25"/>
    </row>
    <row r="12" customFormat="false" ht="13.8" hidden="false" customHeight="false" outlineLevel="0" collapsed="false">
      <c r="D12" s="2"/>
      <c r="E12" s="73"/>
      <c r="F12" s="73"/>
      <c r="G12" s="73"/>
      <c r="H12" s="2"/>
      <c r="BO12" s="25"/>
    </row>
    <row r="13" customFormat="false" ht="13.8" hidden="false" customHeight="false" outlineLevel="0" collapsed="false">
      <c r="D13" s="2"/>
      <c r="E13" s="10" t="s">
        <v>138</v>
      </c>
      <c r="F13" s="74" t="s">
        <v>109</v>
      </c>
      <c r="G13" s="74" t="s">
        <v>110</v>
      </c>
      <c r="H13" s="2"/>
      <c r="BO13" s="25"/>
    </row>
    <row r="14" customFormat="false" ht="13.8" hidden="false" customHeight="false" outlineLevel="0" collapsed="false">
      <c r="D14" s="2"/>
      <c r="E14" s="43" t="s">
        <v>139</v>
      </c>
      <c r="F14" s="48" t="e">
        <f aca="false">Dades!E112*'Factors d''emissió'!D92</f>
        <v>#N/A</v>
      </c>
      <c r="G14" s="48" t="e">
        <f aca="false">F14*'Factors d''emissió'!E92</f>
        <v>#N/A</v>
      </c>
      <c r="H14" s="2"/>
      <c r="BO14" s="25"/>
    </row>
    <row r="15" customFormat="false" ht="13.8" hidden="false" customHeight="false" outlineLevel="0" collapsed="false">
      <c r="D15" s="2"/>
      <c r="E15" s="43" t="s">
        <v>140</v>
      </c>
      <c r="F15" s="48" t="e">
        <f aca="false">Dades!F112*VLOOKUP('Emissions CO2'!F6,abastiment,2,FALSE())*'Factors d''emissió'!C7</f>
        <v>#N/A</v>
      </c>
      <c r="G15" s="48" t="e">
        <f aca="false">F15*'Factors d''emissió'!E92</f>
        <v>#N/A</v>
      </c>
      <c r="H15" s="2"/>
      <c r="BO15" s="25"/>
    </row>
    <row r="16" customFormat="false" ht="13.8" hidden="false" customHeight="false" outlineLevel="0" collapsed="false">
      <c r="D16" s="2"/>
      <c r="E16" s="75"/>
      <c r="F16" s="76"/>
      <c r="G16" s="76"/>
      <c r="H16" s="2"/>
      <c r="BO16" s="25"/>
    </row>
    <row r="17" customFormat="false" ht="13.8" hidden="false" customHeight="false" outlineLevel="0" collapsed="false">
      <c r="D17" s="2"/>
      <c r="E17" s="2"/>
      <c r="F17" s="2"/>
      <c r="G17" s="2"/>
      <c r="H17" s="2"/>
      <c r="I17" s="2"/>
    </row>
    <row r="18" customFormat="false" ht="13.8" hidden="false" customHeight="false" outlineLevel="0" collapsed="false">
      <c r="D18" s="14" t="s">
        <v>27</v>
      </c>
      <c r="E18" s="15" t="s">
        <v>52</v>
      </c>
      <c r="F18" s="15"/>
      <c r="G18" s="2"/>
      <c r="H18" s="2"/>
      <c r="I18" s="2"/>
    </row>
    <row r="19" customFormat="false" ht="13.8" hidden="false" customHeight="false" outlineLevel="0" collapsed="false">
      <c r="D19" s="77"/>
      <c r="E19" s="42"/>
      <c r="F19" s="2"/>
      <c r="G19" s="2"/>
      <c r="H19" s="2"/>
      <c r="I19" s="2"/>
    </row>
    <row r="20" customFormat="false" ht="13.8" hidden="false" customHeight="false" outlineLevel="0" collapsed="false">
      <c r="D20" s="77"/>
      <c r="E20" s="31" t="s">
        <v>141</v>
      </c>
      <c r="F20" s="74" t="s">
        <v>110</v>
      </c>
      <c r="G20" s="2"/>
      <c r="H20" s="2"/>
      <c r="I20" s="2"/>
    </row>
    <row r="21" customFormat="false" ht="13.8" hidden="false" customHeight="false" outlineLevel="0" collapsed="false">
      <c r="D21" s="77"/>
      <c r="E21" s="33" t="s">
        <v>56</v>
      </c>
      <c r="F21" s="55" t="n">
        <f aca="false">Dades!F119*'Factors d''emissió'!C154/10</f>
        <v>0</v>
      </c>
      <c r="G21" s="2"/>
      <c r="H21" s="2"/>
      <c r="I21" s="2"/>
    </row>
    <row r="22" customFormat="false" ht="13.8" hidden="false" customHeight="false" outlineLevel="0" collapsed="false">
      <c r="D22" s="77"/>
      <c r="E22" s="33" t="s">
        <v>57</v>
      </c>
      <c r="F22" s="55" t="n">
        <f aca="false">Dades!F120*'Factors d''emissió'!C155/10</f>
        <v>0</v>
      </c>
      <c r="G22" s="2"/>
      <c r="H22" s="2"/>
      <c r="I22" s="2"/>
    </row>
    <row r="23" customFormat="false" ht="13.8" hidden="false" customHeight="false" outlineLevel="0" collapsed="false">
      <c r="D23" s="77"/>
      <c r="E23" s="33" t="s">
        <v>58</v>
      </c>
      <c r="F23" s="55" t="n">
        <f aca="false">Dades!F121*'Factors d''emissió'!C156/10</f>
        <v>0</v>
      </c>
      <c r="G23" s="2"/>
      <c r="H23" s="2"/>
      <c r="I23" s="2"/>
    </row>
    <row r="24" customFormat="false" ht="13.8" hidden="false" customHeight="false" outlineLevel="0" collapsed="false">
      <c r="D24" s="77"/>
      <c r="E24" s="42"/>
      <c r="F24" s="2"/>
      <c r="G24" s="2"/>
      <c r="H24" s="2"/>
      <c r="I24" s="2"/>
    </row>
    <row r="25" customFormat="false" ht="13.8" hidden="false" customHeight="false" outlineLevel="0" collapsed="false">
      <c r="D25" s="77"/>
      <c r="E25" s="31" t="s">
        <v>142</v>
      </c>
      <c r="F25" s="74" t="s">
        <v>110</v>
      </c>
      <c r="G25" s="2"/>
      <c r="H25" s="2"/>
      <c r="I25" s="2"/>
    </row>
    <row r="26" customFormat="false" ht="13.8" hidden="false" customHeight="false" outlineLevel="0" collapsed="false">
      <c r="D26" s="77"/>
      <c r="E26" s="33" t="s">
        <v>143</v>
      </c>
      <c r="F26" s="78" t="n">
        <f aca="false">Dades!F125*'Factors d''emissió'!C159/10</f>
        <v>0</v>
      </c>
      <c r="G26" s="2"/>
      <c r="H26" s="2"/>
      <c r="I26" s="2"/>
    </row>
    <row r="27" customFormat="false" ht="13.8" hidden="false" customHeight="false" outlineLevel="0" collapsed="false">
      <c r="D27" s="2"/>
      <c r="E27" s="2"/>
      <c r="F27" s="56"/>
      <c r="G27" s="56"/>
      <c r="H27" s="2"/>
      <c r="I27" s="2"/>
    </row>
    <row r="28" customFormat="false" ht="13.8" hidden="false" customHeight="false" outlineLevel="0" collapsed="false">
      <c r="D28" s="2"/>
      <c r="E28" s="31" t="s">
        <v>144</v>
      </c>
      <c r="F28" s="74" t="s">
        <v>110</v>
      </c>
      <c r="G28" s="56"/>
      <c r="H28" s="2"/>
      <c r="I28" s="2"/>
    </row>
    <row r="29" customFormat="false" ht="16.4" hidden="false" customHeight="false" outlineLevel="0" collapsed="false">
      <c r="D29" s="2"/>
      <c r="E29" s="30" t="s">
        <v>63</v>
      </c>
      <c r="F29" s="48" t="n">
        <f aca="false">Dades!E130*(Dades!E135-Dades!E131)*1000/20</f>
        <v>0</v>
      </c>
      <c r="G29" s="19"/>
      <c r="H29" s="2"/>
      <c r="I29" s="2"/>
    </row>
    <row r="30" customFormat="false" ht="13.8" hidden="false" customHeight="false" outlineLevel="0" collapsed="false">
      <c r="D30" s="2"/>
      <c r="E30" s="43" t="s">
        <v>64</v>
      </c>
      <c r="F30" s="48" t="n">
        <f aca="false">Dades!F130*(Dades!F135-Dades!F131)*1000/20</f>
        <v>0</v>
      </c>
      <c r="G30" s="19"/>
      <c r="H30" s="2"/>
      <c r="I30" s="2"/>
    </row>
    <row r="31" customFormat="false" ht="13.8" hidden="false" customHeight="false" outlineLevel="0" collapsed="false">
      <c r="D31" s="2"/>
      <c r="E31" s="43" t="s">
        <v>72</v>
      </c>
      <c r="F31" s="48" t="n">
        <f aca="false">Dades!E138*(Dades!E143-Dades!E139)*1000/20</f>
        <v>0</v>
      </c>
      <c r="G31" s="19"/>
      <c r="H31" s="2"/>
      <c r="I31" s="2"/>
    </row>
    <row r="32" customFormat="false" ht="13.8" hidden="false" customHeight="false" outlineLevel="0" collapsed="false">
      <c r="D32" s="2"/>
      <c r="E32" s="43" t="s">
        <v>73</v>
      </c>
      <c r="F32" s="48" t="n">
        <f aca="false">Dades!F138*(Dades!F143-Dades!F139)*1000/20</f>
        <v>0</v>
      </c>
      <c r="G32" s="19"/>
      <c r="H32" s="2"/>
      <c r="I32" s="2"/>
    </row>
    <row r="33" customFormat="false" ht="13.8" hidden="false" customHeight="false" outlineLevel="0" collapsed="false">
      <c r="D33" s="2"/>
      <c r="E33" s="10" t="s">
        <v>145</v>
      </c>
      <c r="F33" s="45" t="n">
        <f aca="false">SUM(F29:F32)</f>
        <v>0</v>
      </c>
      <c r="G33" s="19"/>
      <c r="H33" s="2"/>
      <c r="I33" s="2"/>
    </row>
    <row r="34" customFormat="false" ht="13.8" hidden="false" customHeight="false" outlineLevel="0" collapsed="false">
      <c r="D34" s="2"/>
      <c r="E34" s="56"/>
      <c r="F34" s="75"/>
      <c r="G34" s="19"/>
      <c r="H34" s="2"/>
      <c r="I34" s="2"/>
    </row>
    <row r="35" customFormat="false" ht="13.8" hidden="false" customHeight="false" outlineLevel="0" collapsed="false">
      <c r="D35" s="2"/>
      <c r="E35" s="2"/>
      <c r="F35" s="2"/>
      <c r="G35" s="2"/>
      <c r="H35" s="2"/>
      <c r="I35" s="2"/>
    </row>
    <row r="36" customFormat="false" ht="13.8" hidden="false" customHeight="false" outlineLevel="0" collapsed="false">
      <c r="D36" s="14" t="s">
        <v>32</v>
      </c>
      <c r="E36" s="15" t="s">
        <v>75</v>
      </c>
      <c r="F36" s="15"/>
      <c r="G36" s="2"/>
      <c r="H36" s="2"/>
      <c r="I36" s="2"/>
    </row>
    <row r="37" customFormat="false" ht="18.55" hidden="false" customHeight="false" outlineLevel="0" collapsed="false">
      <c r="D37" s="2"/>
      <c r="E37" s="19"/>
      <c r="F37" s="19"/>
      <c r="G37" s="19"/>
      <c r="H37" s="39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customFormat="false" ht="13.8" hidden="false" customHeight="false" outlineLevel="0" collapsed="false">
      <c r="D38" s="2"/>
      <c r="E38" s="31" t="s">
        <v>76</v>
      </c>
      <c r="F38" s="31" t="s">
        <v>77</v>
      </c>
      <c r="G38" s="28" t="s">
        <v>110</v>
      </c>
      <c r="H38" s="2"/>
      <c r="I38" s="2"/>
    </row>
    <row r="39" customFormat="false" ht="13.8" hidden="false" customHeight="false" outlineLevel="0" collapsed="false">
      <c r="D39" s="2"/>
      <c r="E39" s="33" t="s">
        <v>78</v>
      </c>
      <c r="F39" s="78" t="n">
        <f aca="false">Dades!F149</f>
        <v>0</v>
      </c>
      <c r="G39" s="48" t="e">
        <f aca="false">F39*'Factors d''emissió'!C7</f>
        <v>#N/A</v>
      </c>
      <c r="H39" s="2"/>
      <c r="I39" s="2"/>
    </row>
    <row r="40" customFormat="false" ht="13.8" hidden="false" customHeight="false" outlineLevel="0" collapsed="false">
      <c r="D40" s="2"/>
      <c r="E40" s="33" t="s">
        <v>79</v>
      </c>
      <c r="F40" s="78" t="n">
        <f aca="false">Dades!F150</f>
        <v>0</v>
      </c>
      <c r="G40" s="48" t="e">
        <f aca="false">F40*'Factors d''emissió'!C7</f>
        <v>#N/A</v>
      </c>
      <c r="H40" s="2"/>
      <c r="I40" s="2"/>
    </row>
    <row r="41" customFormat="false" ht="13.8" hidden="false" customHeight="false" outlineLevel="0" collapsed="false">
      <c r="D41" s="2"/>
      <c r="E41" s="33" t="s">
        <v>146</v>
      </c>
      <c r="F41" s="78" t="n">
        <f aca="false">Dades!F151</f>
        <v>0</v>
      </c>
      <c r="G41" s="50" t="e">
        <f aca="false">F41*'Factors d''emissió'!C7</f>
        <v>#N/A</v>
      </c>
      <c r="H41" s="2"/>
      <c r="I41" s="2"/>
    </row>
    <row r="42" customFormat="false" ht="13.8" hidden="false" customHeight="false" outlineLevel="0" collapsed="false">
      <c r="D42" s="2"/>
      <c r="E42" s="19"/>
      <c r="F42" s="19"/>
      <c r="G42" s="19"/>
      <c r="H42" s="2"/>
      <c r="I42" s="2"/>
    </row>
    <row r="43" customFormat="false" ht="13.8" hidden="false" customHeight="false" outlineLevel="0" collapsed="false">
      <c r="D43" s="2"/>
      <c r="E43" s="19"/>
      <c r="F43" s="19"/>
      <c r="G43" s="19"/>
      <c r="H43" s="2"/>
      <c r="I43" s="2"/>
    </row>
    <row r="44" customFormat="false" ht="13.8" hidden="false" customHeight="false" outlineLevel="0" collapsed="false">
      <c r="D44" s="14" t="s">
        <v>37</v>
      </c>
      <c r="E44" s="15" t="s">
        <v>81</v>
      </c>
      <c r="F44" s="15"/>
      <c r="H44" s="2"/>
      <c r="I44" s="2"/>
    </row>
    <row r="45" customFormat="false" ht="13.8" hidden="false" customHeight="false" outlineLevel="0" collapsed="false">
      <c r="D45" s="2"/>
      <c r="E45" s="19"/>
      <c r="F45" s="19"/>
      <c r="H45" s="2"/>
      <c r="I45" s="2"/>
    </row>
    <row r="46" customFormat="false" ht="13.8" hidden="false" customHeight="false" outlineLevel="0" collapsed="false">
      <c r="D46" s="2"/>
      <c r="E46" s="31" t="s">
        <v>82</v>
      </c>
      <c r="F46" s="31" t="s">
        <v>77</v>
      </c>
      <c r="G46" s="28" t="s">
        <v>110</v>
      </c>
      <c r="H46" s="2"/>
      <c r="I46" s="2"/>
    </row>
    <row r="47" customFormat="false" ht="13.8" hidden="false" customHeight="false" outlineLevel="0" collapsed="false">
      <c r="D47" s="2"/>
      <c r="E47" s="33" t="str">
        <f aca="false">IF(Dades!E157="","",Dades!E157)</f>
        <v/>
      </c>
      <c r="F47" s="78" t="n">
        <f aca="false">Dades!F157</f>
        <v>0</v>
      </c>
      <c r="G47" s="48" t="e">
        <f aca="false">F47*'Factors d''emissió'!C7</f>
        <v>#N/A</v>
      </c>
      <c r="H47" s="2"/>
      <c r="I47" s="2"/>
    </row>
    <row r="48" customFormat="false" ht="13.8" hidden="false" customHeight="false" outlineLevel="0" collapsed="false">
      <c r="D48" s="2"/>
      <c r="E48" s="33" t="str">
        <f aca="false">IF(Dades!E158="","",Dades!E158)</f>
        <v/>
      </c>
      <c r="F48" s="78" t="n">
        <f aca="false">Dades!F158</f>
        <v>0</v>
      </c>
      <c r="G48" s="48" t="e">
        <f aca="false">F48*'Factors d''emissió'!C7</f>
        <v>#N/A</v>
      </c>
      <c r="H48" s="2"/>
      <c r="I48" s="2"/>
    </row>
    <row r="49" customFormat="false" ht="13.8" hidden="false" customHeight="false" outlineLevel="0" collapsed="false">
      <c r="D49" s="2"/>
      <c r="E49" s="33" t="str">
        <f aca="false">IF(Dades!E159="","",Dades!E159)</f>
        <v/>
      </c>
      <c r="F49" s="78" t="n">
        <f aca="false">Dades!F159</f>
        <v>0</v>
      </c>
      <c r="G49" s="50" t="e">
        <f aca="false">F49*'Factors d''emissió'!C7</f>
        <v>#N/A</v>
      </c>
      <c r="H49" s="2"/>
      <c r="I49" s="2"/>
    </row>
    <row r="50" customFormat="false" ht="13.8" hidden="false" customHeight="false" outlineLevel="0" collapsed="false">
      <c r="D50" s="2"/>
      <c r="E50" s="2"/>
      <c r="F50" s="2"/>
      <c r="G50" s="2"/>
      <c r="H50" s="2"/>
      <c r="I50" s="2"/>
    </row>
    <row r="51" customFormat="false" ht="13.8" hidden="false" customHeight="false" outlineLevel="0" collapsed="false">
      <c r="D51" s="2"/>
      <c r="E51" s="64"/>
      <c r="F51" s="56"/>
      <c r="G51" s="56"/>
      <c r="H51" s="2"/>
      <c r="I51" s="2"/>
    </row>
    <row r="52" customFormat="false" ht="13.8" hidden="false" customHeight="false" outlineLevel="0" collapsed="false">
      <c r="D52" s="14" t="s">
        <v>37</v>
      </c>
      <c r="E52" s="15" t="s">
        <v>84</v>
      </c>
      <c r="F52" s="15"/>
      <c r="G52" s="56"/>
      <c r="H52" s="2"/>
      <c r="I52" s="2"/>
    </row>
    <row r="53" customFormat="false" ht="13.8" hidden="false" customHeight="false" outlineLevel="0" collapsed="false">
      <c r="D53" s="2"/>
      <c r="E53" s="64"/>
      <c r="F53" s="56"/>
      <c r="G53" s="56"/>
      <c r="H53" s="2"/>
      <c r="I53" s="2"/>
    </row>
    <row r="54" customFormat="false" ht="13.8" hidden="false" customHeight="false" outlineLevel="0" collapsed="false">
      <c r="D54" s="2"/>
      <c r="E54" s="31" t="s">
        <v>85</v>
      </c>
      <c r="F54" s="28" t="s">
        <v>110</v>
      </c>
      <c r="G54" s="56"/>
      <c r="H54" s="2"/>
      <c r="I54" s="2"/>
    </row>
    <row r="55" customFormat="false" ht="13.8" hidden="false" customHeight="false" outlineLevel="0" collapsed="false">
      <c r="D55" s="2"/>
      <c r="E55" s="37" t="str">
        <f aca="false">IF(Dades!E165="","",Dades!E165)</f>
        <v/>
      </c>
      <c r="F55" s="79" t="n">
        <f aca="false">Dades!F165*1000</f>
        <v>0</v>
      </c>
      <c r="G55" s="56"/>
      <c r="H55" s="2"/>
      <c r="I55" s="2"/>
    </row>
    <row r="56" customFormat="false" ht="13.8" hidden="false" customHeight="false" outlineLevel="0" collapsed="false">
      <c r="D56" s="2"/>
      <c r="E56" s="37" t="str">
        <f aca="false">IF(Dades!E166="","",Dades!E166)</f>
        <v/>
      </c>
      <c r="F56" s="79" t="n">
        <f aca="false">Dades!F166*1000</f>
        <v>0</v>
      </c>
      <c r="G56" s="56"/>
      <c r="H56" s="2"/>
      <c r="I56" s="2"/>
    </row>
    <row r="57" customFormat="false" ht="13.8" hidden="false" customHeight="false" outlineLevel="0" collapsed="false">
      <c r="D57" s="2"/>
      <c r="E57" s="37" t="str">
        <f aca="false">IF(Dades!E167="","",Dades!E167)</f>
        <v/>
      </c>
      <c r="F57" s="79" t="n">
        <f aca="false">Dades!F167*1000</f>
        <v>0</v>
      </c>
      <c r="G57" s="56"/>
      <c r="H57" s="2"/>
      <c r="I57" s="2"/>
    </row>
    <row r="58" customFormat="false" ht="13.8" hidden="false" customHeight="false" outlineLevel="0" collapsed="false">
      <c r="D58" s="2"/>
      <c r="E58" s="64"/>
      <c r="F58" s="56"/>
      <c r="G58" s="56"/>
      <c r="H58" s="2"/>
      <c r="I58" s="2"/>
    </row>
    <row r="59" customFormat="false" ht="13.8" hidden="false" customHeight="false" outlineLevel="0" collapsed="false">
      <c r="D59" s="2"/>
      <c r="E59" s="64"/>
      <c r="F59" s="56"/>
      <c r="G59" s="56"/>
    </row>
    <row r="60" customFormat="false" ht="18.55" hidden="false" customHeight="false" outlineLevel="0" collapsed="false">
      <c r="D60" s="8" t="s">
        <v>147</v>
      </c>
      <c r="E60" s="8"/>
      <c r="F60" s="8"/>
      <c r="G60" s="39"/>
    </row>
    <row r="61" customFormat="false" ht="18.55" hidden="false" customHeight="false" outlineLevel="0" collapsed="false">
      <c r="D61" s="2"/>
      <c r="E61" s="2"/>
      <c r="F61" s="2"/>
      <c r="G61" s="39"/>
    </row>
    <row r="62" customFormat="false" ht="13.8" hidden="false" customHeight="false" outlineLevel="0" collapsed="false">
      <c r="D62" s="14" t="s">
        <v>47</v>
      </c>
      <c r="E62" s="41" t="s">
        <v>148</v>
      </c>
      <c r="F62" s="41"/>
      <c r="G62" s="2"/>
    </row>
    <row r="63" customFormat="false" ht="13.8" hidden="false" customHeight="false" outlineLevel="0" collapsed="false">
      <c r="D63" s="2"/>
      <c r="G63" s="2"/>
    </row>
    <row r="64" customFormat="false" ht="13.8" hidden="false" customHeight="false" outlineLevel="0" collapsed="false">
      <c r="D64" s="2"/>
      <c r="E64" s="10" t="s">
        <v>122</v>
      </c>
      <c r="F64" s="80" t="e">
        <f aca="false">G14+G15+F21+F22+F23+F26+F33+G39+G40+G41+G47+G48+G49+F55+F56+F57</f>
        <v>#N/A</v>
      </c>
      <c r="G64" s="2"/>
      <c r="H64" s="2"/>
      <c r="I64" s="2"/>
    </row>
    <row r="65" customFormat="false" ht="13.8" hidden="false" customHeight="false" outlineLevel="0" collapsed="false">
      <c r="D65" s="2"/>
      <c r="G65" s="2"/>
    </row>
    <row r="66" customFormat="false" ht="18.55" hidden="false" customHeight="false" outlineLevel="0" collapsed="false">
      <c r="D66" s="2"/>
      <c r="E66" s="58" t="s">
        <v>149</v>
      </c>
      <c r="F66" s="81" t="e">
        <f aca="false">F64/1000</f>
        <v>#N/A</v>
      </c>
      <c r="G66" s="2"/>
    </row>
    <row r="67" customFormat="false" ht="13.8" hidden="false" customHeight="false" outlineLevel="0" collapsed="false">
      <c r="D67" s="2"/>
      <c r="E67" s="2"/>
      <c r="F67" s="2"/>
      <c r="G67" s="2"/>
    </row>
    <row r="69" customFormat="false" ht="13.8" hidden="false" customHeight="false" outlineLevel="0" collapsed="false">
      <c r="D69" s="2"/>
      <c r="E69" s="2"/>
      <c r="F69" s="2"/>
      <c r="G69" s="2"/>
    </row>
    <row r="70" customFormat="false" ht="18.55" hidden="false" customHeight="false" outlineLevel="0" collapsed="false">
      <c r="D70" s="5"/>
      <c r="E70" s="5"/>
      <c r="F70" s="5"/>
      <c r="G70" s="39"/>
      <c r="H70" s="2"/>
      <c r="I70" s="2"/>
    </row>
    <row r="71" customFormat="false" ht="18.55" hidden="false" customHeight="false" outlineLevel="0" collapsed="false">
      <c r="D71" s="2"/>
      <c r="E71" s="2"/>
      <c r="F71" s="2"/>
      <c r="G71" s="3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customFormat="false" ht="15.9" hidden="false" customHeight="true" outlineLevel="0" collapsed="false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customFormat="false" ht="13.8" hidden="false" customHeight="false" outlineLevel="0" collapsed="false">
      <c r="D73" s="2"/>
      <c r="E73" s="2"/>
      <c r="F73" s="2"/>
      <c r="G73" s="2"/>
    </row>
    <row r="74" customFormat="false" ht="13.8" hidden="false" customHeight="false" outlineLevel="0" collapsed="false">
      <c r="D74" s="77"/>
      <c r="E74" s="42"/>
      <c r="F74" s="42"/>
      <c r="G74" s="2"/>
    </row>
    <row r="75" customFormat="false" ht="13.8" hidden="false" customHeight="false" outlineLevel="0" collapsed="false">
      <c r="D75" s="2"/>
      <c r="G75" s="2"/>
    </row>
    <row r="76" customFormat="false" ht="13.8" hidden="false" customHeight="false" outlineLevel="0" collapsed="false">
      <c r="D76" s="2"/>
      <c r="E76" s="56"/>
      <c r="F76" s="82"/>
      <c r="G76" s="2"/>
    </row>
    <row r="77" customFormat="false" ht="13.8" hidden="false" customHeight="false" outlineLevel="0" collapsed="false">
      <c r="D77" s="2"/>
      <c r="F77" s="38" t="s">
        <v>87</v>
      </c>
      <c r="G77" s="2"/>
    </row>
    <row r="78" customFormat="false" ht="18.55" hidden="false" customHeight="false" outlineLevel="0" collapsed="false">
      <c r="D78" s="2"/>
      <c r="E78" s="83"/>
      <c r="F78" s="38" t="s">
        <v>88</v>
      </c>
      <c r="G78" s="2"/>
    </row>
    <row r="79" customFormat="false" ht="13.8" hidden="false" customHeight="false" outlineLevel="0" collapsed="false">
      <c r="D79" s="2"/>
      <c r="E79" s="2"/>
      <c r="F79" s="38" t="s">
        <v>89</v>
      </c>
      <c r="G79" s="2"/>
    </row>
    <row r="80" customFormat="false" ht="13.8" hidden="false" customHeight="false" outlineLevel="0" collapsed="false">
      <c r="D80" s="77"/>
      <c r="E80" s="42"/>
      <c r="F80" s="38" t="s">
        <v>90</v>
      </c>
      <c r="G80" s="2"/>
    </row>
    <row r="81" customFormat="false" ht="13.8" hidden="false" customHeight="false" outlineLevel="0" collapsed="false">
      <c r="D81" s="2"/>
      <c r="E81" s="2"/>
      <c r="F81" s="2"/>
      <c r="G81" s="2"/>
      <c r="J81" s="60"/>
    </row>
    <row r="82" customFormat="false" ht="13.8" hidden="false" customHeight="false" outlineLevel="0" collapsed="false">
      <c r="E82" s="64"/>
      <c r="F82" s="64"/>
      <c r="G82" s="64"/>
      <c r="J82" s="60"/>
    </row>
    <row r="83" customFormat="false" ht="13.8" hidden="false" customHeight="false" outlineLevel="0" collapsed="false">
      <c r="E83" s="19"/>
      <c r="F83" s="82"/>
      <c r="G83" s="62"/>
      <c r="J83" s="60"/>
    </row>
    <row r="84" customFormat="false" ht="13.8" hidden="false" customHeight="false" outlineLevel="0" collapsed="false">
      <c r="E84" s="19"/>
      <c r="F84" s="82"/>
      <c r="G84" s="62"/>
      <c r="J84" s="60"/>
    </row>
    <row r="85" customFormat="false" ht="13.8" hidden="false" customHeight="false" outlineLevel="0" collapsed="false">
      <c r="E85" s="19"/>
      <c r="F85" s="82"/>
      <c r="G85" s="62"/>
      <c r="J85" s="60"/>
    </row>
    <row r="86" customFormat="false" ht="13.8" hidden="false" customHeight="false" outlineLevel="0" collapsed="false">
      <c r="E86" s="19"/>
      <c r="F86" s="82"/>
      <c r="G86" s="62"/>
      <c r="J86" s="60"/>
    </row>
    <row r="87" customFormat="false" ht="13.8" hidden="false" customHeight="false" outlineLevel="0" collapsed="false">
      <c r="D87" s="2"/>
      <c r="E87" s="2"/>
      <c r="F87" s="2"/>
      <c r="G87" s="2"/>
      <c r="J87" s="60"/>
    </row>
    <row r="88" customFormat="false" ht="13.8" hidden="false" customHeight="false" outlineLevel="0" collapsed="false">
      <c r="D88" s="2"/>
      <c r="E88" s="2"/>
      <c r="F88" s="2"/>
      <c r="G88" s="2"/>
      <c r="J88" s="60"/>
    </row>
    <row r="89" customFormat="false" ht="13.8" hidden="false" customHeight="false" outlineLevel="0" collapsed="false">
      <c r="D89" s="2"/>
      <c r="E89" s="64"/>
      <c r="F89" s="64"/>
      <c r="G89" s="64"/>
      <c r="J89" s="60"/>
    </row>
    <row r="90" customFormat="false" ht="13.8" hidden="false" customHeight="false" outlineLevel="0" collapsed="false">
      <c r="D90" s="2"/>
      <c r="E90" s="19"/>
      <c r="F90" s="82"/>
      <c r="G90" s="62"/>
      <c r="J90" s="60"/>
    </row>
    <row r="91" customFormat="false" ht="13.8" hidden="false" customHeight="false" outlineLevel="0" collapsed="false">
      <c r="D91" s="2"/>
      <c r="E91" s="19"/>
      <c r="F91" s="82"/>
      <c r="G91" s="62"/>
      <c r="J91" s="60"/>
    </row>
    <row r="92" customFormat="false" ht="13.8" hidden="false" customHeight="false" outlineLevel="0" collapsed="false">
      <c r="D92" s="2"/>
      <c r="E92" s="19"/>
      <c r="F92" s="82"/>
      <c r="G92" s="62"/>
      <c r="J92" s="60"/>
    </row>
    <row r="93" customFormat="false" ht="13.8" hidden="false" customHeight="false" outlineLevel="0" collapsed="false">
      <c r="D93" s="2"/>
      <c r="E93" s="19"/>
      <c r="F93" s="82"/>
      <c r="G93" s="62"/>
      <c r="J93" s="60"/>
    </row>
    <row r="94" customFormat="false" ht="13.8" hidden="false" customHeight="false" outlineLevel="0" collapsed="false">
      <c r="D94" s="2"/>
      <c r="E94" s="19"/>
      <c r="F94" s="82"/>
      <c r="G94" s="62"/>
      <c r="J94" s="60"/>
    </row>
    <row r="95" customFormat="false" ht="13.8" hidden="false" customHeight="false" outlineLevel="0" collapsed="false">
      <c r="D95" s="2"/>
      <c r="E95" s="19"/>
      <c r="F95" s="82"/>
      <c r="G95" s="62"/>
      <c r="J95" s="60"/>
    </row>
    <row r="96" customFormat="false" ht="13.8" hidden="false" customHeight="false" outlineLevel="0" collapsed="false">
      <c r="D96" s="2"/>
      <c r="E96" s="2"/>
      <c r="F96" s="2"/>
      <c r="G96" s="2"/>
      <c r="J96" s="60"/>
    </row>
    <row r="97" customFormat="false" ht="13.8" hidden="false" customHeight="false" outlineLevel="0" collapsed="false">
      <c r="D97" s="2"/>
      <c r="E97" s="2"/>
      <c r="F97" s="2"/>
      <c r="G97" s="2"/>
      <c r="J97" s="60"/>
    </row>
    <row r="98" customFormat="false" ht="18.55" hidden="false" customHeight="false" outlineLevel="0" collapsed="false">
      <c r="D98" s="5"/>
      <c r="E98" s="5"/>
      <c r="F98" s="5"/>
    </row>
    <row r="100" customFormat="false" ht="13.8" hidden="false" customHeight="false" outlineLevel="0" collapsed="false">
      <c r="E100" s="56"/>
      <c r="F100" s="56"/>
    </row>
    <row r="101" customFormat="false" ht="13.8" hidden="false" customHeight="false" outlineLevel="0" collapsed="false">
      <c r="E101" s="84"/>
      <c r="F101" s="85"/>
    </row>
    <row r="102" customFormat="false" ht="13.8" hidden="false" customHeight="false" outlineLevel="0" collapsed="false">
      <c r="E102" s="84"/>
      <c r="F102" s="85"/>
    </row>
    <row r="103" customFormat="false" ht="13.8" hidden="false" customHeight="false" outlineLevel="0" collapsed="false">
      <c r="E103" s="84"/>
      <c r="F103" s="85"/>
    </row>
    <row r="104" customFormat="false" ht="13.8" hidden="false" customHeight="false" outlineLevel="0" collapsed="false">
      <c r="E104" s="84"/>
      <c r="F104" s="85"/>
    </row>
    <row r="105" customFormat="false" ht="13.8" hidden="false" customHeight="false" outlineLevel="0" collapsed="false">
      <c r="E105" s="84"/>
      <c r="F105" s="85"/>
    </row>
    <row r="106" customFormat="false" ht="13.8" hidden="false" customHeight="false" outlineLevel="0" collapsed="false">
      <c r="E106" s="84"/>
      <c r="F106" s="85"/>
    </row>
    <row r="107" customFormat="false" ht="13.8" hidden="false" customHeight="false" outlineLevel="0" collapsed="false">
      <c r="E107" s="84"/>
      <c r="F107" s="85"/>
    </row>
    <row r="108" customFormat="false" ht="13.8" hidden="false" customHeight="false" outlineLevel="0" collapsed="false">
      <c r="E108" s="84"/>
      <c r="F108" s="85"/>
    </row>
    <row r="109" customFormat="false" ht="13.8" hidden="false" customHeight="false" outlineLevel="0" collapsed="false">
      <c r="E109" s="84"/>
      <c r="F109" s="85"/>
    </row>
    <row r="110" customFormat="false" ht="13.8" hidden="false" customHeight="false" outlineLevel="0" collapsed="false">
      <c r="E110" s="84"/>
      <c r="F110" s="85"/>
    </row>
    <row r="111" customFormat="false" ht="13.8" hidden="false" customHeight="false" outlineLevel="0" collapsed="false">
      <c r="E111" s="84"/>
      <c r="F111" s="85"/>
    </row>
    <row r="112" customFormat="false" ht="13.8" hidden="false" customHeight="false" outlineLevel="0" collapsed="false">
      <c r="E112" s="84"/>
      <c r="F112" s="85"/>
    </row>
    <row r="113" customFormat="false" ht="13.8" hidden="false" customHeight="false" outlineLevel="0" collapsed="false">
      <c r="E113" s="84"/>
      <c r="F113" s="85"/>
    </row>
    <row r="114" customFormat="false" ht="13.8" hidden="false" customHeight="false" outlineLevel="0" collapsed="false">
      <c r="E114" s="84"/>
      <c r="F114" s="85"/>
    </row>
    <row r="115" customFormat="false" ht="13.8" hidden="false" customHeight="false" outlineLevel="0" collapsed="false">
      <c r="E115" s="84"/>
      <c r="F115" s="85"/>
    </row>
    <row r="116" customFormat="false" ht="13.8" hidden="false" customHeight="false" outlineLevel="0" collapsed="false">
      <c r="E116" s="84"/>
      <c r="F116" s="85"/>
    </row>
    <row r="117" customFormat="false" ht="13.8" hidden="false" customHeight="false" outlineLevel="0" collapsed="false">
      <c r="E117" s="84"/>
      <c r="F117" s="85"/>
    </row>
    <row r="118" customFormat="false" ht="13.8" hidden="false" customHeight="false" outlineLevel="0" collapsed="false">
      <c r="E118" s="84"/>
      <c r="F118" s="85"/>
    </row>
    <row r="119" customFormat="false" ht="13.8" hidden="false" customHeight="false" outlineLevel="0" collapsed="false">
      <c r="E119" s="84"/>
      <c r="F119" s="85"/>
    </row>
    <row r="120" customFormat="false" ht="13.8" hidden="false" customHeight="false" outlineLevel="0" collapsed="false">
      <c r="E120" s="84"/>
      <c r="F120" s="85"/>
    </row>
    <row r="121" customFormat="false" ht="13.8" hidden="false" customHeight="false" outlineLevel="0" collapsed="false">
      <c r="E121" s="84"/>
      <c r="F121" s="85"/>
    </row>
    <row r="122" customFormat="false" ht="13.8" hidden="false" customHeight="false" outlineLevel="0" collapsed="false">
      <c r="E122" s="84"/>
      <c r="F122" s="85"/>
    </row>
    <row r="123" customFormat="false" ht="13.8" hidden="false" customHeight="false" outlineLevel="0" collapsed="false">
      <c r="E123" s="84"/>
      <c r="F123" s="85"/>
    </row>
    <row r="124" customFormat="false" ht="13.8" hidden="false" customHeight="false" outlineLevel="0" collapsed="false">
      <c r="E124" s="84"/>
      <c r="F124" s="85"/>
    </row>
    <row r="125" customFormat="false" ht="13.8" hidden="false" customHeight="false" outlineLevel="0" collapsed="false">
      <c r="E125" s="84"/>
      <c r="F125" s="85"/>
    </row>
    <row r="126" customFormat="false" ht="13.8" hidden="false" customHeight="false" outlineLevel="0" collapsed="false">
      <c r="E126" s="84"/>
      <c r="F126" s="85"/>
    </row>
    <row r="127" customFormat="false" ht="13.8" hidden="false" customHeight="false" outlineLevel="0" collapsed="false">
      <c r="E127" s="84"/>
      <c r="F127" s="85"/>
    </row>
    <row r="128" customFormat="false" ht="13.8" hidden="false" customHeight="false" outlineLevel="0" collapsed="false">
      <c r="E128" s="84"/>
      <c r="F128" s="85"/>
    </row>
    <row r="129" customFormat="false" ht="13.8" hidden="false" customHeight="false" outlineLevel="0" collapsed="false">
      <c r="E129" s="84"/>
      <c r="F129" s="85"/>
    </row>
    <row r="130" customFormat="false" ht="13.8" hidden="false" customHeight="false" outlineLevel="0" collapsed="false">
      <c r="E130" s="84"/>
      <c r="F130" s="85"/>
    </row>
    <row r="131" customFormat="false" ht="13.8" hidden="false" customHeight="false" outlineLevel="0" collapsed="false">
      <c r="E131" s="84"/>
      <c r="F131" s="85"/>
    </row>
  </sheetData>
  <sheetProtection sheet="true" password="e929" objects="true" scenarios="true"/>
  <mergeCells count="10">
    <mergeCell ref="D2:F2"/>
    <mergeCell ref="D9:F9"/>
    <mergeCell ref="E11:F11"/>
    <mergeCell ref="E18:F18"/>
    <mergeCell ref="E36:F36"/>
    <mergeCell ref="E44:F44"/>
    <mergeCell ref="E52:F52"/>
    <mergeCell ref="D60:F60"/>
    <mergeCell ref="E62:F62"/>
    <mergeCell ref="D98:F9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1:U18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3.45"/>
    <col collapsed="false" customWidth="true" hidden="false" outlineLevel="0" max="2" min="2" style="1" width="6.69"/>
    <col collapsed="false" customWidth="true" hidden="false" outlineLevel="0" max="3" min="3" style="1" width="3.45"/>
    <col collapsed="false" customWidth="true" hidden="false" outlineLevel="0" max="4" min="4" style="1" width="12.66"/>
    <col collapsed="false" customWidth="true" hidden="false" outlineLevel="0" max="5" min="5" style="1" width="37.66"/>
    <col collapsed="false" customWidth="true" hidden="false" outlineLevel="0" max="6" min="6" style="1" width="34.67"/>
    <col collapsed="false" customWidth="true" hidden="false" outlineLevel="0" max="7" min="7" style="1" width="32.34"/>
    <col collapsed="false" customWidth="true" hidden="false" outlineLevel="0" max="8" min="8" style="1" width="14.88"/>
    <col collapsed="false" customWidth="true" hidden="false" outlineLevel="0" max="9" min="9" style="1" width="9.66"/>
    <col collapsed="false" customWidth="true" hidden="false" outlineLevel="0" max="11" min="10" style="1" width="8.67"/>
    <col collapsed="false" customWidth="true" hidden="false" outlineLevel="0" max="12" min="12" style="1" width="13.55"/>
    <col collapsed="false" customWidth="true" hidden="false" outlineLevel="0" max="13" min="13" style="1" width="13.1"/>
    <col collapsed="false" customWidth="true" hidden="false" outlineLevel="0" max="14" min="14" style="1" width="8.67"/>
    <col collapsed="false" customWidth="true" hidden="false" outlineLevel="0" max="15" min="15" style="1" width="15.44"/>
    <col collapsed="false" customWidth="true" hidden="false" outlineLevel="0" max="16" min="16" style="1" width="14.01"/>
    <col collapsed="false" customWidth="true" hidden="false" outlineLevel="0" max="1025" min="17" style="1" width="8.67"/>
  </cols>
  <sheetData>
    <row r="1" customFormat="false" ht="18.55" hidden="false" customHeight="false" outlineLevel="0" collapsed="false">
      <c r="D1" s="5"/>
      <c r="E1" s="5"/>
      <c r="F1" s="5"/>
    </row>
    <row r="2" customFormat="false" ht="18.55" hidden="false" customHeight="false" outlineLevel="0" collapsed="false">
      <c r="D2" s="8" t="s">
        <v>150</v>
      </c>
      <c r="E2" s="8"/>
      <c r="F2" s="8"/>
    </row>
    <row r="3" customFormat="false" ht="13.8" hidden="false" customHeight="false" outlineLevel="0" collapsed="false">
      <c r="D3" s="2"/>
      <c r="E3" s="2"/>
      <c r="F3" s="2"/>
    </row>
    <row r="4" customFormat="false" ht="13.8" hidden="false" customHeight="false" outlineLevel="0" collapsed="false">
      <c r="D4" s="2"/>
      <c r="E4" s="2"/>
      <c r="F4" s="2"/>
    </row>
    <row r="5" customFormat="false" ht="13.8" hidden="false" customHeight="false" outlineLevel="0" collapsed="false">
      <c r="D5" s="14" t="s">
        <v>8</v>
      </c>
      <c r="E5" s="41" t="s">
        <v>151</v>
      </c>
      <c r="F5" s="41"/>
    </row>
    <row r="6" customFormat="false" ht="13.8" hidden="false" customHeight="false" outlineLevel="0" collapsed="false">
      <c r="D6" s="2"/>
      <c r="E6" s="42"/>
      <c r="F6" s="2"/>
    </row>
    <row r="7" customFormat="false" ht="13.8" hidden="false" customHeight="false" outlineLevel="0" collapsed="false">
      <c r="F7" s="28" t="s">
        <v>123</v>
      </c>
      <c r="G7" s="66"/>
    </row>
    <row r="8" customFormat="false" ht="13.8" hidden="false" customHeight="false" outlineLevel="0" collapsed="false">
      <c r="D8" s="2"/>
      <c r="E8" s="10" t="s">
        <v>152</v>
      </c>
      <c r="F8" s="80" t="n">
        <f aca="false">'Emissions CO2'!F20/1000</f>
        <v>0</v>
      </c>
      <c r="G8" s="86"/>
    </row>
    <row r="9" customFormat="false" ht="13.8" hidden="false" customHeight="false" outlineLevel="0" collapsed="false">
      <c r="D9" s="2"/>
      <c r="E9" s="10" t="s">
        <v>153</v>
      </c>
      <c r="F9" s="80" t="e">
        <f aca="false">'Emissions CO2'!F22/1000</f>
        <v>#N/A</v>
      </c>
      <c r="G9" s="86"/>
    </row>
    <row r="10" customFormat="false" ht="13.8" hidden="false" customHeight="false" outlineLevel="0" collapsed="false">
      <c r="D10" s="2"/>
      <c r="E10" s="10" t="s">
        <v>154</v>
      </c>
      <c r="F10" s="80" t="n">
        <f aca="false">'Emissions CO2'!F27/1000</f>
        <v>0</v>
      </c>
      <c r="G10" s="86"/>
    </row>
    <row r="11" customFormat="false" ht="13.8" hidden="false" customHeight="false" outlineLevel="0" collapsed="false">
      <c r="D11" s="2"/>
      <c r="E11" s="10" t="s">
        <v>155</v>
      </c>
      <c r="F11" s="80" t="e">
        <f aca="false">'Emissions CO2'!G41/1000</f>
        <v>#N/A</v>
      </c>
      <c r="G11" s="86"/>
    </row>
    <row r="12" customFormat="false" ht="13.8" hidden="false" customHeight="false" outlineLevel="0" collapsed="false">
      <c r="D12" s="2"/>
      <c r="E12" s="10" t="s">
        <v>156</v>
      </c>
      <c r="F12" s="80" t="e">
        <f aca="false">'Emissions CO2'!H55/1000</f>
        <v>#N/A</v>
      </c>
      <c r="G12" s="86"/>
    </row>
    <row r="13" customFormat="false" ht="13.8" hidden="false" customHeight="false" outlineLevel="0" collapsed="false">
      <c r="D13" s="2"/>
      <c r="E13" s="87" t="s">
        <v>157</v>
      </c>
      <c r="F13" s="80" t="e">
        <f aca="false">'Emissions CO2'!F65/1000</f>
        <v>#N/A</v>
      </c>
      <c r="G13" s="86"/>
    </row>
    <row r="14" customFormat="false" ht="13.8" hidden="false" customHeight="false" outlineLevel="0" collapsed="false">
      <c r="D14" s="2"/>
      <c r="E14" s="2"/>
      <c r="F14" s="2"/>
    </row>
    <row r="16" customFormat="false" ht="13.8" hidden="false" customHeight="false" outlineLevel="0" collapsed="false">
      <c r="D16" s="14" t="s">
        <v>12</v>
      </c>
      <c r="E16" s="41" t="s">
        <v>158</v>
      </c>
      <c r="F16" s="41"/>
    </row>
    <row r="17" customFormat="false" ht="13.8" hidden="false" customHeight="false" outlineLevel="0" collapsed="false">
      <c r="D17" s="2"/>
      <c r="E17" s="2"/>
      <c r="F17" s="2"/>
    </row>
    <row r="18" customFormat="false" ht="13.8" hidden="false" customHeight="false" outlineLevel="0" collapsed="false">
      <c r="F18" s="28" t="s">
        <v>123</v>
      </c>
      <c r="G18" s="66"/>
    </row>
    <row r="19" customFormat="false" ht="13.8" hidden="false" customHeight="false" outlineLevel="0" collapsed="false">
      <c r="D19" s="2"/>
      <c r="E19" s="10" t="s">
        <v>159</v>
      </c>
      <c r="F19" s="44" t="e">
        <f aca="false">('Fixació CO2'!G14+'Fixació CO2'!G15)/1000</f>
        <v>#N/A</v>
      </c>
      <c r="G19" s="88"/>
    </row>
    <row r="20" customFormat="false" ht="13.8" hidden="false" customHeight="false" outlineLevel="0" collapsed="false">
      <c r="D20" s="2"/>
      <c r="E20" s="10" t="s">
        <v>160</v>
      </c>
      <c r="F20" s="44" t="n">
        <f aca="false">('Fixació CO2'!F21+'Fixació CO2'!F22+'Fixació CO2'!F23+'Fixació CO2'!F26+'Fixació CO2'!F33)/1000</f>
        <v>0</v>
      </c>
      <c r="G20" s="88"/>
    </row>
    <row r="21" customFormat="false" ht="13.8" hidden="false" customHeight="false" outlineLevel="0" collapsed="false">
      <c r="D21" s="2"/>
      <c r="E21" s="10" t="s">
        <v>161</v>
      </c>
      <c r="F21" s="44" t="e">
        <f aca="false">('Fixació CO2'!G39+'Fixació CO2'!G40+'Fixació CO2'!G41+'Fixació CO2'!G47+'Fixació CO2'!G48+'Fixació CO2'!G49)/1000</f>
        <v>#N/A</v>
      </c>
      <c r="G21" s="88"/>
    </row>
    <row r="22" customFormat="false" ht="13.8" hidden="false" customHeight="false" outlineLevel="0" collapsed="false">
      <c r="D22" s="2"/>
      <c r="E22" s="10" t="s">
        <v>162</v>
      </c>
      <c r="F22" s="44" t="n">
        <f aca="false">SUM('Fixació CO2'!F55:F57)/1000</f>
        <v>0</v>
      </c>
    </row>
    <row r="23" customFormat="false" ht="13.8" hidden="false" customHeight="false" outlineLevel="0" collapsed="false">
      <c r="D23" s="2"/>
      <c r="E23" s="56"/>
      <c r="F23" s="89"/>
    </row>
    <row r="25" customFormat="false" ht="13.8" hidden="false" customHeight="false" outlineLevel="0" collapsed="false">
      <c r="D25" s="14" t="s">
        <v>163</v>
      </c>
      <c r="E25" s="41" t="s">
        <v>158</v>
      </c>
      <c r="F25" s="41"/>
    </row>
    <row r="26" customFormat="false" ht="13.8" hidden="false" customHeight="false" outlineLevel="0" collapsed="false">
      <c r="D26" s="2"/>
      <c r="E26" s="2"/>
      <c r="F26" s="2"/>
    </row>
    <row r="27" customFormat="false" ht="13.8" hidden="false" customHeight="false" outlineLevel="0" collapsed="false">
      <c r="F27" s="28" t="s">
        <v>123</v>
      </c>
      <c r="G27" s="28" t="s">
        <v>164</v>
      </c>
    </row>
    <row r="28" customFormat="false" ht="13.8" hidden="false" customHeight="false" outlineLevel="0" collapsed="false">
      <c r="D28" s="2"/>
      <c r="E28" s="10" t="s">
        <v>165</v>
      </c>
      <c r="F28" s="90" t="e">
        <f aca="false">SUM(F8:F13)</f>
        <v>#N/A</v>
      </c>
      <c r="G28" s="90" t="e">
        <f aca="false">F28/(Dades!$F$7/10000)</f>
        <v>#N/A</v>
      </c>
    </row>
    <row r="29" customFormat="false" ht="13.8" hidden="false" customHeight="false" outlineLevel="0" collapsed="false">
      <c r="D29" s="2"/>
      <c r="E29" s="10" t="s">
        <v>166</v>
      </c>
      <c r="F29" s="90" t="e">
        <f aca="false">SUM(F19:F22)</f>
        <v>#N/A</v>
      </c>
      <c r="G29" s="90" t="e">
        <f aca="false">F29/(Dades!$F$7/10000)</f>
        <v>#N/A</v>
      </c>
    </row>
    <row r="30" customFormat="false" ht="13.8" hidden="false" customHeight="false" outlineLevel="0" collapsed="false">
      <c r="D30" s="2"/>
      <c r="E30" s="10" t="s">
        <v>167</v>
      </c>
      <c r="F30" s="90" t="e">
        <f aca="false">F28-F29</f>
        <v>#N/A</v>
      </c>
      <c r="G30" s="90" t="e">
        <f aca="false">G28-G29</f>
        <v>#N/A</v>
      </c>
    </row>
    <row r="31" customFormat="false" ht="13.8" hidden="false" customHeight="false" outlineLevel="0" collapsed="false">
      <c r="D31" s="77"/>
      <c r="E31" s="42"/>
      <c r="F31" s="2"/>
    </row>
    <row r="32" customFormat="false" ht="13.8" hidden="false" customHeight="false" outlineLevel="0" collapsed="false">
      <c r="D32" s="2"/>
      <c r="E32" s="56"/>
      <c r="F32" s="88"/>
    </row>
    <row r="33" customFormat="false" ht="18.55" hidden="false" customHeight="false" outlineLevel="0" collapsed="false">
      <c r="D33" s="8" t="s">
        <v>168</v>
      </c>
      <c r="E33" s="8"/>
      <c r="F33" s="8"/>
    </row>
    <row r="34" customFormat="false" ht="13.8" hidden="false" customHeight="false" outlineLevel="0" collapsed="false">
      <c r="D34" s="2"/>
      <c r="E34" s="19"/>
      <c r="F34" s="88"/>
      <c r="G34" s="91"/>
    </row>
    <row r="35" customFormat="false" ht="13.8" hidden="false" customHeight="false" outlineLevel="0" collapsed="false">
      <c r="D35" s="92"/>
    </row>
    <row r="36" customFormat="false" ht="13.8" hidden="false" customHeight="false" outlineLevel="0" collapsed="false">
      <c r="D36" s="93"/>
      <c r="E36" s="28" t="s">
        <v>169</v>
      </c>
      <c r="F36" s="28" t="s">
        <v>149</v>
      </c>
    </row>
    <row r="37" customFormat="false" ht="13.8" hidden="false" customHeight="false" outlineLevel="0" collapsed="false">
      <c r="D37" s="92"/>
      <c r="E37" s="28"/>
      <c r="F37" s="94" t="e">
        <f aca="false">'Previsió emissions futures'!AG63</f>
        <v>#N/A</v>
      </c>
      <c r="G37" s="95"/>
    </row>
    <row r="38" customFormat="false" ht="15" hidden="false" customHeight="false" outlineLevel="0" collapsed="false">
      <c r="D38" s="92"/>
      <c r="E38" s="28" t="s">
        <v>170</v>
      </c>
      <c r="F38" s="28" t="s">
        <v>164</v>
      </c>
      <c r="G38" s="96"/>
    </row>
    <row r="39" customFormat="false" ht="15" hidden="false" customHeight="false" outlineLevel="0" collapsed="false">
      <c r="D39" s="91"/>
      <c r="E39" s="90" t="e">
        <f aca="false">'Previsió emissions futures'!AG64</f>
        <v>#N/A</v>
      </c>
      <c r="F39" s="90" t="e">
        <f aca="false">'Previsió emissions futures'!AG65</f>
        <v>#N/A</v>
      </c>
      <c r="G39" s="96"/>
    </row>
    <row r="40" customFormat="false" ht="13.8" hidden="false" customHeight="false" outlineLevel="0" collapsed="false">
      <c r="D40" s="91"/>
    </row>
    <row r="41" customFormat="false" ht="13.8" hidden="false" customHeight="false" outlineLevel="0" collapsed="false">
      <c r="D41" s="91"/>
      <c r="E41" s="75"/>
      <c r="F41" s="97"/>
      <c r="G41" s="91"/>
      <c r="T41" s="95"/>
    </row>
    <row r="42" customFormat="false" ht="13.8" hidden="false" customHeight="false" outlineLevel="0" collapsed="false">
      <c r="D42" s="91"/>
      <c r="E42" s="75"/>
      <c r="F42" s="97"/>
      <c r="G42" s="91"/>
      <c r="T42" s="95"/>
    </row>
    <row r="43" customFormat="false" ht="17.35" hidden="false" customHeight="false" outlineLevel="0" collapsed="false">
      <c r="D43" s="91"/>
      <c r="E43" s="98" t="s">
        <v>171</v>
      </c>
      <c r="F43" s="97"/>
      <c r="G43" s="91"/>
      <c r="T43" s="95"/>
    </row>
    <row r="44" customFormat="false" ht="16.65" hidden="false" customHeight="true" outlineLevel="0" collapsed="false">
      <c r="T44" s="95"/>
    </row>
    <row r="45" customFormat="false" ht="15.9" hidden="false" customHeight="true" outlineLevel="0" collapsed="false">
      <c r="E45" s="99" t="s">
        <v>172</v>
      </c>
      <c r="F45" s="100"/>
      <c r="T45" s="95"/>
    </row>
    <row r="46" customFormat="false" ht="17.7" hidden="false" customHeight="true" outlineLevel="0" collapsed="false">
      <c r="T46" s="95"/>
    </row>
    <row r="47" customFormat="false" ht="18.45" hidden="false" customHeight="true" outlineLevel="0" collapsed="false">
      <c r="E47" s="95"/>
      <c r="F47" s="101" t="s">
        <v>173</v>
      </c>
      <c r="G47" s="102" t="s">
        <v>174</v>
      </c>
      <c r="T47" s="95"/>
    </row>
    <row r="48" customFormat="false" ht="16.65" hidden="false" customHeight="true" outlineLevel="0" collapsed="false">
      <c r="E48" s="95"/>
      <c r="F48" s="101"/>
      <c r="G48" s="102"/>
      <c r="T48" s="95"/>
    </row>
    <row r="49" customFormat="false" ht="14.85" hidden="false" customHeight="true" outlineLevel="0" collapsed="false">
      <c r="E49" s="103" t="s">
        <v>175</v>
      </c>
      <c r="F49" s="104" t="e">
        <f aca="false">VLOOKUP(F45,acminims,2,FALSE())</f>
        <v>#N/A</v>
      </c>
      <c r="G49" s="105" t="e">
        <f aca="false">10000*F49/Dades!$F$7</f>
        <v>#N/A</v>
      </c>
      <c r="T49" s="95"/>
    </row>
    <row r="50" customFormat="false" ht="13.8" hidden="false" customHeight="false" outlineLevel="0" collapsed="false">
      <c r="E50" s="106" t="s">
        <v>176</v>
      </c>
      <c r="F50" s="107" t="e">
        <f aca="false">VLOOKUP(F45,acminims,3,FALSE())</f>
        <v>#N/A</v>
      </c>
      <c r="G50" s="108" t="e">
        <f aca="false">10000*F50/Dades!$F$7</f>
        <v>#N/A</v>
      </c>
      <c r="T50" s="95"/>
    </row>
    <row r="51" customFormat="false" ht="13.8" hidden="false" customHeight="false" outlineLevel="0" collapsed="false">
      <c r="E51" s="109" t="s">
        <v>177</v>
      </c>
      <c r="F51" s="110" t="e">
        <f aca="false">VLOOKUP(F45,acminims,4,FALSE())</f>
        <v>#N/A</v>
      </c>
      <c r="G51" s="111" t="e">
        <f aca="false">10000*F51/Dades!$F$7</f>
        <v>#N/A</v>
      </c>
      <c r="T51" s="95"/>
    </row>
    <row r="52" customFormat="false" ht="13.8" hidden="false" customHeight="false" outlineLevel="0" collapsed="false">
      <c r="E52" s="95"/>
      <c r="T52" s="95"/>
    </row>
    <row r="53" customFormat="false" ht="13.8" hidden="false" customHeight="false" outlineLevel="0" collapsed="false">
      <c r="E53" s="95"/>
      <c r="T53" s="95"/>
    </row>
    <row r="54" customFormat="false" ht="15.75" hidden="false" customHeight="true" outlineLevel="0" collapsed="false">
      <c r="E54" s="95"/>
      <c r="T54" s="95"/>
    </row>
    <row r="55" customFormat="false" ht="13.8" hidden="false" customHeight="false" outlineLevel="0" collapsed="false">
      <c r="E55" s="93"/>
      <c r="F55" s="57"/>
      <c r="G55" s="91"/>
      <c r="T55" s="95"/>
    </row>
    <row r="56" customFormat="false" ht="13.8" hidden="false" customHeight="false" outlineLevel="0" collapsed="false">
      <c r="E56" s="95"/>
      <c r="T56" s="95"/>
    </row>
    <row r="57" customFormat="false" ht="13.8" hidden="false" customHeight="false" outlineLevel="0" collapsed="false">
      <c r="E57" s="95"/>
      <c r="T57" s="95"/>
    </row>
    <row r="58" customFormat="false" ht="13.8" hidden="false" customHeight="false" outlineLevel="0" collapsed="false">
      <c r="E58" s="95"/>
      <c r="T58" s="95"/>
    </row>
    <row r="59" customFormat="false" ht="13.8" hidden="false" customHeight="false" outlineLevel="0" collapsed="false">
      <c r="E59" s="95"/>
      <c r="T59" s="95"/>
    </row>
    <row r="60" customFormat="false" ht="13.8" hidden="false" customHeight="false" outlineLevel="0" collapsed="false">
      <c r="E60" s="95"/>
      <c r="T60" s="95"/>
    </row>
    <row r="61" customFormat="false" ht="13.8" hidden="false" customHeight="false" outlineLevel="0" collapsed="false">
      <c r="E61" s="95"/>
      <c r="G61" s="91"/>
      <c r="T61" s="95"/>
    </row>
    <row r="62" customFormat="false" ht="13.8" hidden="false" customHeight="false" outlineLevel="0" collapsed="false">
      <c r="E62" s="95"/>
      <c r="G62" s="91"/>
      <c r="T62" s="95"/>
    </row>
    <row r="63" customFormat="false" ht="13.8" hidden="false" customHeight="false" outlineLevel="0" collapsed="false">
      <c r="E63" s="95"/>
      <c r="T63" s="95"/>
    </row>
    <row r="64" customFormat="false" ht="13.8" hidden="false" customHeight="false" outlineLevel="0" collapsed="false">
      <c r="E64" s="95"/>
      <c r="G64" s="91"/>
      <c r="T64" s="95"/>
    </row>
    <row r="65" customFormat="false" ht="13.8" hidden="false" customHeight="false" outlineLevel="0" collapsed="false">
      <c r="E65" s="95"/>
      <c r="T65" s="95"/>
    </row>
    <row r="66" customFormat="false" ht="13.8" hidden="false" customHeight="false" outlineLevel="0" collapsed="false">
      <c r="E66" s="95"/>
      <c r="G66" s="91"/>
      <c r="T66" s="95"/>
    </row>
    <row r="67" customFormat="false" ht="13.8" hidden="false" customHeight="false" outlineLevel="0" collapsed="false">
      <c r="E67" s="95"/>
      <c r="G67" s="91"/>
      <c r="T67" s="95"/>
    </row>
    <row r="68" customFormat="false" ht="13.8" hidden="false" customHeight="false" outlineLevel="0" collapsed="false">
      <c r="E68" s="95"/>
      <c r="T68" s="95"/>
    </row>
    <row r="69" customFormat="false" ht="13.8" hidden="false" customHeight="false" outlineLevel="0" collapsed="false">
      <c r="E69" s="95"/>
      <c r="T69" s="95"/>
    </row>
    <row r="70" customFormat="false" ht="13.8" hidden="false" customHeight="false" outlineLevel="0" collapsed="false">
      <c r="E70" s="95"/>
      <c r="T70" s="95"/>
    </row>
    <row r="71" customFormat="false" ht="13.8" hidden="false" customHeight="false" outlineLevel="0" collapsed="false">
      <c r="E71" s="95"/>
      <c r="T71" s="95"/>
    </row>
    <row r="72" customFormat="false" ht="13.8" hidden="false" customHeight="false" outlineLevel="0" collapsed="false">
      <c r="E72" s="95"/>
      <c r="T72" s="95"/>
    </row>
    <row r="73" customFormat="false" ht="15.75" hidden="false" customHeight="true" outlineLevel="0" collapsed="false">
      <c r="E73" s="95"/>
      <c r="T73" s="95"/>
    </row>
    <row r="74" customFormat="false" ht="13.8" hidden="false" customHeight="false" outlineLevel="0" collapsed="false">
      <c r="E74" s="95"/>
      <c r="T74" s="95"/>
    </row>
    <row r="75" customFormat="false" ht="13.8" hidden="false" customHeight="false" outlineLevel="0" collapsed="false">
      <c r="E75" s="95"/>
      <c r="T75" s="95"/>
    </row>
    <row r="76" customFormat="false" ht="14.4" hidden="false" customHeight="true" outlineLevel="0" collapsed="false">
      <c r="D76" s="95"/>
      <c r="T76" s="95"/>
    </row>
    <row r="77" customFormat="false" ht="13.8" hidden="false" customHeight="false" outlineLevel="0" collapsed="false">
      <c r="D77" s="95"/>
      <c r="T77" s="95"/>
    </row>
    <row r="78" customFormat="false" ht="17.35" hidden="false" customHeight="false" outlineLevel="0" collapsed="false">
      <c r="E78" s="98" t="s">
        <v>178</v>
      </c>
      <c r="T78" s="95"/>
    </row>
    <row r="79" customFormat="false" ht="13.8" hidden="false" customHeight="false" outlineLevel="0" collapsed="false">
      <c r="T79" s="95"/>
    </row>
    <row r="80" customFormat="false" ht="13.8" hidden="false" customHeight="true" outlineLevel="0" collapsed="false">
      <c r="E80" s="95"/>
      <c r="F80" s="112" t="s">
        <v>179</v>
      </c>
      <c r="G80" s="113" t="s">
        <v>180</v>
      </c>
      <c r="T80" s="95"/>
    </row>
    <row r="81" customFormat="false" ht="13.8" hidden="false" customHeight="false" outlineLevel="0" collapsed="false">
      <c r="E81" s="95"/>
      <c r="F81" s="112"/>
      <c r="G81" s="113"/>
      <c r="T81" s="95"/>
    </row>
    <row r="82" customFormat="false" ht="13.8" hidden="false" customHeight="false" outlineLevel="0" collapsed="false">
      <c r="E82" s="114" t="s">
        <v>181</v>
      </c>
      <c r="F82" s="115" t="n">
        <f aca="false">'Previsió emissions futures'!BD12/1000</f>
        <v>0</v>
      </c>
      <c r="G82" s="116" t="e">
        <f aca="false">10000*F82/Dades!$F$7</f>
        <v>#DIV/0!</v>
      </c>
      <c r="T82" s="95"/>
    </row>
    <row r="83" customFormat="false" ht="13.8" hidden="false" customHeight="false" outlineLevel="0" collapsed="false">
      <c r="E83" s="117" t="s">
        <v>153</v>
      </c>
      <c r="F83" s="118" t="e">
        <f aca="false">'Previsió emissions futures'!BD13/1000</f>
        <v>#N/A</v>
      </c>
      <c r="G83" s="119" t="e">
        <f aca="false">10000*F83/Dades!$F$7</f>
        <v>#N/A</v>
      </c>
      <c r="T83" s="95"/>
    </row>
    <row r="84" customFormat="false" ht="13.8" hidden="false" customHeight="false" outlineLevel="0" collapsed="false">
      <c r="E84" s="117" t="s">
        <v>154</v>
      </c>
      <c r="F84" s="118" t="n">
        <f aca="false">'Previsió emissions futures'!BD14/1000</f>
        <v>0</v>
      </c>
      <c r="G84" s="119" t="e">
        <f aca="false">10000*F84/Dades!$F$7</f>
        <v>#DIV/0!</v>
      </c>
      <c r="T84" s="95"/>
    </row>
    <row r="85" customFormat="false" ht="13.8" hidden="false" customHeight="false" outlineLevel="0" collapsed="false">
      <c r="E85" s="117" t="s">
        <v>128</v>
      </c>
      <c r="F85" s="118" t="e">
        <f aca="false">'Previsió emissions futures'!BD15/1000</f>
        <v>#N/A</v>
      </c>
      <c r="G85" s="119" t="e">
        <f aca="false">10000*F85/Dades!$F$7</f>
        <v>#N/A</v>
      </c>
      <c r="T85" s="95"/>
    </row>
    <row r="86" customFormat="false" ht="13.8" hidden="false" customHeight="false" outlineLevel="0" collapsed="false">
      <c r="E86" s="117" t="s">
        <v>129</v>
      </c>
      <c r="F86" s="118" t="e">
        <f aca="false">'Previsió emissions futures'!BD16/1000</f>
        <v>#N/A</v>
      </c>
      <c r="G86" s="119" t="e">
        <f aca="false">10000*F86/Dades!$F$7</f>
        <v>#N/A</v>
      </c>
      <c r="L86" s="95"/>
      <c r="M86" s="95"/>
      <c r="N86" s="95"/>
      <c r="O86" s="95"/>
      <c r="P86" s="95"/>
      <c r="Q86" s="95"/>
      <c r="R86" s="95"/>
      <c r="S86" s="95"/>
      <c r="T86" s="95"/>
    </row>
    <row r="87" customFormat="false" ht="13.8" hidden="false" customHeight="false" outlineLevel="0" collapsed="false">
      <c r="E87" s="120" t="s">
        <v>130</v>
      </c>
      <c r="F87" s="121" t="e">
        <f aca="false">'Previsió emissions futures'!BD17/1000</f>
        <v>#N/A</v>
      </c>
      <c r="G87" s="122" t="e">
        <f aca="false">10000*F87/Dades!$F$7</f>
        <v>#N/A</v>
      </c>
      <c r="L87" s="95"/>
      <c r="M87" s="95"/>
      <c r="N87" s="95"/>
      <c r="O87" s="95"/>
      <c r="P87" s="95"/>
      <c r="Q87" s="95"/>
      <c r="R87" s="95"/>
      <c r="S87" s="95"/>
      <c r="T87" s="95"/>
    </row>
    <row r="88" customFormat="false" ht="13.8" hidden="false" customHeight="false" outlineLevel="0" collapsed="false">
      <c r="E88" s="123" t="s">
        <v>177</v>
      </c>
      <c r="F88" s="124" t="e">
        <f aca="false">SUM(F82:F87)</f>
        <v>#N/A</v>
      </c>
      <c r="G88" s="124" t="e">
        <f aca="false">SUM(G82:G87)</f>
        <v>#DIV/0!</v>
      </c>
    </row>
    <row r="89" customFormat="false" ht="13.8" hidden="false" customHeight="false" outlineLevel="0" collapsed="false">
      <c r="D89" s="95"/>
      <c r="E89" s="95"/>
      <c r="F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customFormat="false" ht="14.4" hidden="false" customHeight="true" outlineLevel="0" collapsed="false">
      <c r="D90" s="95"/>
      <c r="L90" s="95"/>
      <c r="M90" s="95"/>
      <c r="N90" s="95"/>
      <c r="O90" s="95"/>
      <c r="P90" s="95"/>
      <c r="Q90" s="95"/>
      <c r="R90" s="95"/>
      <c r="S90" s="95"/>
      <c r="T90" s="95"/>
      <c r="U90" s="95"/>
    </row>
    <row r="91" customFormat="false" ht="14.4" hidden="false" customHeight="true" outlineLevel="0" collapsed="false">
      <c r="D91" s="95"/>
      <c r="L91" s="95"/>
      <c r="M91" s="95"/>
      <c r="N91" s="95"/>
      <c r="O91" s="95"/>
      <c r="P91" s="95"/>
      <c r="Q91" s="95"/>
      <c r="R91" s="95"/>
      <c r="S91" s="95"/>
      <c r="T91" s="95"/>
      <c r="U91" s="95"/>
    </row>
    <row r="92" customFormat="false" ht="14.4" hidden="false" customHeight="true" outlineLevel="0" collapsed="false">
      <c r="D92" s="95"/>
      <c r="L92" s="95"/>
      <c r="M92" s="95"/>
      <c r="N92" s="95"/>
      <c r="O92" s="95"/>
      <c r="P92" s="95"/>
      <c r="Q92" s="95"/>
      <c r="R92" s="95"/>
      <c r="S92" s="95"/>
      <c r="T92" s="95"/>
      <c r="U92" s="95"/>
    </row>
    <row r="93" customFormat="false" ht="13.8" hidden="false" customHeight="false" outlineLevel="0" collapsed="false">
      <c r="D93" s="95"/>
      <c r="L93" s="95"/>
      <c r="M93" s="95"/>
      <c r="N93" s="95"/>
      <c r="O93" s="95"/>
      <c r="P93" s="95"/>
      <c r="Q93" s="95"/>
      <c r="R93" s="95"/>
      <c r="S93" s="95"/>
      <c r="T93" s="95"/>
      <c r="U93" s="95"/>
    </row>
    <row r="94" customFormat="false" ht="15.75" hidden="false" customHeight="true" outlineLevel="0" collapsed="false">
      <c r="D94" s="95"/>
      <c r="E94" s="98" t="s">
        <v>182</v>
      </c>
      <c r="L94" s="35"/>
      <c r="M94" s="35"/>
      <c r="N94" s="95"/>
      <c r="O94" s="95"/>
      <c r="P94" s="95"/>
      <c r="Q94" s="95"/>
      <c r="R94" s="95"/>
      <c r="S94" s="95"/>
      <c r="T94" s="95"/>
      <c r="U94" s="95"/>
    </row>
    <row r="95" customFormat="false" ht="15" hidden="false" customHeight="false" outlineLevel="0" collapsed="false">
      <c r="D95" s="95"/>
      <c r="E95" s="125"/>
      <c r="F95" s="75"/>
      <c r="L95" s="35"/>
      <c r="M95" s="35"/>
      <c r="N95" s="95"/>
      <c r="O95" s="95"/>
      <c r="P95" s="95"/>
      <c r="Q95" s="95"/>
      <c r="R95" s="95"/>
      <c r="S95" s="95"/>
      <c r="T95" s="95"/>
      <c r="U95" s="95"/>
    </row>
    <row r="96" customFormat="false" ht="13.8" hidden="false" customHeight="false" outlineLevel="0" collapsed="false">
      <c r="D96" s="95"/>
      <c r="E96" s="99" t="s">
        <v>172</v>
      </c>
      <c r="F96" s="126"/>
      <c r="G96" s="95"/>
      <c r="L96" s="127"/>
      <c r="M96" s="127"/>
      <c r="N96" s="95"/>
      <c r="O96" s="95"/>
      <c r="P96" s="95"/>
      <c r="Q96" s="95"/>
      <c r="R96" s="95"/>
      <c r="S96" s="95"/>
      <c r="T96" s="95"/>
      <c r="U96" s="95"/>
    </row>
    <row r="97" customFormat="false" ht="13.8" hidden="false" customHeight="false" outlineLevel="0" collapsed="false">
      <c r="D97" s="95"/>
      <c r="E97" s="95"/>
      <c r="F97" s="95"/>
      <c r="G97" s="95"/>
      <c r="L97" s="127"/>
      <c r="M97" s="127"/>
      <c r="N97" s="95"/>
      <c r="O97" s="95"/>
      <c r="P97" s="95"/>
      <c r="Q97" s="95"/>
      <c r="R97" s="95"/>
      <c r="S97" s="95"/>
      <c r="T97" s="95"/>
      <c r="U97" s="95"/>
    </row>
    <row r="98" customFormat="false" ht="13.8" hidden="false" customHeight="true" outlineLevel="0" collapsed="false">
      <c r="D98" s="95"/>
      <c r="E98" s="95"/>
      <c r="F98" s="128" t="s">
        <v>183</v>
      </c>
      <c r="G98" s="101" t="s">
        <v>184</v>
      </c>
      <c r="I98" s="95"/>
      <c r="J98" s="95"/>
      <c r="K98" s="95"/>
      <c r="L98" s="127"/>
      <c r="M98" s="127"/>
      <c r="N98" s="95"/>
      <c r="O98" s="95"/>
      <c r="P98" s="95"/>
      <c r="Q98" s="95"/>
      <c r="R98" s="95"/>
      <c r="S98" s="95"/>
      <c r="T98" s="95"/>
      <c r="U98" s="95"/>
    </row>
    <row r="99" customFormat="false" ht="13.8" hidden="false" customHeight="false" outlineLevel="0" collapsed="false">
      <c r="D99" s="95"/>
      <c r="E99" s="95"/>
      <c r="F99" s="128"/>
      <c r="G99" s="101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</row>
    <row r="100" customFormat="false" ht="13.8" hidden="false" customHeight="false" outlineLevel="0" collapsed="false">
      <c r="D100" s="95"/>
      <c r="E100" s="103" t="s">
        <v>181</v>
      </c>
      <c r="F100" s="115" t="e">
        <f aca="false">VLOOKUP(F96,eminims,2,FALSE())/1000</f>
        <v>#N/A</v>
      </c>
      <c r="G100" s="129" t="e">
        <f aca="false">10000*F100/Dades!$F$7</f>
        <v>#N/A</v>
      </c>
      <c r="H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</row>
    <row r="101" customFormat="false" ht="13.8" hidden="false" customHeight="false" outlineLevel="0" collapsed="false">
      <c r="D101" s="95"/>
      <c r="E101" s="130" t="s">
        <v>153</v>
      </c>
      <c r="F101" s="118" t="e">
        <f aca="false">VLOOKUP(F96,eminims,3,FALSE())/1000</f>
        <v>#N/A</v>
      </c>
      <c r="G101" s="129" t="e">
        <f aca="false">10000*F101/Dades!$F$7</f>
        <v>#N/A</v>
      </c>
      <c r="H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</row>
    <row r="102" customFormat="false" ht="15.75" hidden="false" customHeight="true" outlineLevel="0" collapsed="false">
      <c r="D102" s="95"/>
      <c r="E102" s="130" t="s">
        <v>154</v>
      </c>
      <c r="F102" s="118" t="e">
        <f aca="false">VLOOKUP(F96,eminims,4,FALSE())/1000</f>
        <v>#N/A</v>
      </c>
      <c r="G102" s="129" t="e">
        <f aca="false">10000*F102/Dades!$F$7</f>
        <v>#N/A</v>
      </c>
      <c r="J102" s="95"/>
      <c r="K102" s="95"/>
      <c r="L102" s="95"/>
      <c r="M102" s="35"/>
      <c r="N102" s="35"/>
      <c r="O102" s="95"/>
      <c r="P102" s="95"/>
      <c r="Q102" s="95"/>
      <c r="R102" s="95"/>
      <c r="S102" s="95"/>
      <c r="T102" s="95"/>
      <c r="U102" s="95"/>
    </row>
    <row r="103" customFormat="false" ht="13.8" hidden="false" customHeight="false" outlineLevel="0" collapsed="false">
      <c r="D103" s="95"/>
      <c r="E103" s="130" t="s">
        <v>128</v>
      </c>
      <c r="F103" s="118" t="e">
        <f aca="false">VLOOKUP(F96,eminims,5,FALSE())/1000</f>
        <v>#N/A</v>
      </c>
      <c r="G103" s="129" t="e">
        <f aca="false">10000*F103/Dades!$F$7</f>
        <v>#N/A</v>
      </c>
      <c r="J103" s="95"/>
      <c r="K103" s="95"/>
      <c r="L103" s="95"/>
      <c r="M103" s="35"/>
      <c r="N103" s="35"/>
      <c r="O103" s="95"/>
      <c r="P103" s="95"/>
      <c r="Q103" s="95"/>
      <c r="R103" s="95"/>
      <c r="S103" s="95"/>
      <c r="T103" s="95"/>
      <c r="U103" s="95"/>
    </row>
    <row r="104" customFormat="false" ht="13.8" hidden="false" customHeight="false" outlineLevel="0" collapsed="false">
      <c r="D104" s="95"/>
      <c r="E104" s="130" t="s">
        <v>129</v>
      </c>
      <c r="F104" s="118" t="e">
        <f aca="false">VLOOKUP(F96,eminims,6,FALSE())/1000</f>
        <v>#N/A</v>
      </c>
      <c r="G104" s="129" t="e">
        <f aca="false">10000*F104/Dades!$F$7</f>
        <v>#N/A</v>
      </c>
      <c r="J104" s="95"/>
      <c r="K104" s="95"/>
      <c r="L104" s="131"/>
      <c r="M104" s="127"/>
      <c r="N104" s="127"/>
      <c r="O104" s="95"/>
      <c r="P104" s="95"/>
      <c r="Q104" s="95"/>
      <c r="R104" s="95"/>
      <c r="S104" s="95"/>
      <c r="T104" s="95"/>
      <c r="U104" s="95"/>
    </row>
    <row r="105" customFormat="false" ht="13.8" hidden="false" customHeight="false" outlineLevel="0" collapsed="false">
      <c r="D105" s="95"/>
      <c r="E105" s="123" t="s">
        <v>130</v>
      </c>
      <c r="F105" s="121" t="e">
        <f aca="false">VLOOKUP(F96,eminims,7,FALSE())/1000</f>
        <v>#N/A</v>
      </c>
      <c r="G105" s="129" t="e">
        <f aca="false">10000*F105/Dades!$F$7</f>
        <v>#N/A</v>
      </c>
      <c r="J105" s="95"/>
      <c r="K105" s="131"/>
      <c r="L105" s="131"/>
      <c r="M105" s="127"/>
      <c r="N105" s="127"/>
      <c r="O105" s="95"/>
      <c r="P105" s="95"/>
      <c r="Q105" s="95"/>
      <c r="R105" s="95"/>
      <c r="S105" s="95"/>
      <c r="T105" s="95"/>
      <c r="U105" s="95"/>
    </row>
    <row r="106" customFormat="false" ht="13.8" hidden="false" customHeight="false" outlineLevel="0" collapsed="false">
      <c r="D106" s="95"/>
      <c r="E106" s="123" t="s">
        <v>177</v>
      </c>
      <c r="F106" s="124" t="e">
        <f aca="false">SUM(F100:F105)</f>
        <v>#N/A</v>
      </c>
      <c r="G106" s="124" t="e">
        <f aca="false">SUM(G100:G105)</f>
        <v>#N/A</v>
      </c>
      <c r="J106" s="95"/>
      <c r="K106" s="95"/>
      <c r="L106" s="131"/>
      <c r="M106" s="127"/>
      <c r="N106" s="127"/>
      <c r="O106" s="95"/>
      <c r="P106" s="95"/>
      <c r="Q106" s="95"/>
      <c r="R106" s="95"/>
      <c r="S106" s="95"/>
      <c r="T106" s="95"/>
      <c r="U106" s="95"/>
    </row>
    <row r="107" customFormat="false" ht="13.8" hidden="false" customHeight="false" outlineLevel="0" collapsed="false">
      <c r="D107" s="95"/>
      <c r="E107" s="95"/>
      <c r="F107" s="95"/>
      <c r="J107" s="95"/>
      <c r="K107" s="95"/>
      <c r="L107" s="131"/>
      <c r="M107" s="127"/>
      <c r="N107" s="127"/>
      <c r="O107" s="95"/>
      <c r="P107" s="95"/>
      <c r="Q107" s="95"/>
      <c r="R107" s="95"/>
      <c r="S107" s="95"/>
      <c r="T107" s="95"/>
      <c r="U107" s="95"/>
    </row>
    <row r="108" customFormat="false" ht="13.8" hidden="false" customHeight="false" outlineLevel="0" collapsed="false">
      <c r="D108" s="95"/>
      <c r="E108" s="95"/>
      <c r="F108" s="95"/>
      <c r="J108" s="95"/>
      <c r="K108" s="95"/>
      <c r="L108" s="131"/>
      <c r="M108" s="127"/>
      <c r="N108" s="127"/>
      <c r="O108" s="95"/>
      <c r="P108" s="95"/>
      <c r="Q108" s="95"/>
      <c r="R108" s="95"/>
      <c r="S108" s="95"/>
      <c r="T108" s="95"/>
      <c r="U108" s="95"/>
    </row>
    <row r="109" customFormat="false" ht="13.8" hidden="false" customHeight="false" outlineLevel="0" collapsed="false">
      <c r="D109" s="95"/>
      <c r="E109" s="95"/>
      <c r="F109" s="95"/>
      <c r="J109" s="95"/>
      <c r="K109" s="131"/>
      <c r="L109" s="131"/>
      <c r="M109" s="127"/>
      <c r="N109" s="127"/>
      <c r="O109" s="95"/>
      <c r="P109" s="95"/>
      <c r="Q109" s="95"/>
      <c r="R109" s="95"/>
      <c r="S109" s="95"/>
      <c r="T109" s="95"/>
      <c r="U109" s="95"/>
    </row>
    <row r="110" customFormat="false" ht="13.8" hidden="false" customHeight="false" outlineLevel="0" collapsed="false">
      <c r="D110" s="95"/>
      <c r="E110" s="95"/>
      <c r="F110" s="95"/>
      <c r="G110" s="95"/>
      <c r="H110" s="95"/>
      <c r="I110" s="95"/>
      <c r="J110" s="95"/>
      <c r="K110" s="131"/>
      <c r="L110" s="95"/>
      <c r="M110" s="95"/>
      <c r="N110" s="95"/>
      <c r="O110" s="95"/>
      <c r="P110" s="95"/>
      <c r="Q110" s="95"/>
      <c r="R110" s="95"/>
      <c r="S110" s="95"/>
      <c r="T110" s="95"/>
      <c r="U110" s="95"/>
    </row>
    <row r="111" customFormat="false" ht="13.8" hidden="false" customHeight="false" outlineLevel="0" collapsed="false">
      <c r="D111" s="95"/>
      <c r="E111" s="95"/>
      <c r="F111" s="95"/>
      <c r="G111" s="95"/>
      <c r="H111" s="95"/>
      <c r="I111" s="95"/>
      <c r="J111" s="95"/>
      <c r="K111" s="131"/>
      <c r="L111" s="95"/>
      <c r="M111" s="95"/>
      <c r="N111" s="95"/>
      <c r="O111" s="95"/>
      <c r="P111" s="95"/>
      <c r="Q111" s="95"/>
      <c r="R111" s="95"/>
      <c r="S111" s="95"/>
      <c r="T111" s="95"/>
      <c r="U111" s="95"/>
    </row>
    <row r="112" customFormat="false" ht="13.8" hidden="false" customHeight="false" outlineLevel="0" collapsed="false"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</row>
    <row r="113" customFormat="false" ht="13.8" hidden="false" customHeight="false" outlineLevel="0" collapsed="false">
      <c r="D113" s="95"/>
      <c r="E113" s="132"/>
      <c r="F113" s="132"/>
      <c r="G113" s="132"/>
      <c r="H113" s="132"/>
      <c r="I113" s="132"/>
      <c r="J113" s="132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</row>
    <row r="114" customFormat="false" ht="13.8" hidden="false" customHeight="false" outlineLevel="0" collapsed="false"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</row>
    <row r="115" customFormat="false" ht="13.8" hidden="false" customHeight="false" outlineLevel="0" collapsed="false"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</row>
    <row r="116" customFormat="false" ht="13.8" hidden="false" customHeight="false" outlineLevel="0" collapsed="false"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</row>
    <row r="117" customFormat="false" ht="13.8" hidden="false" customHeight="false" outlineLevel="0" collapsed="false"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</row>
    <row r="118" customFormat="false" ht="13.8" hidden="false" customHeight="false" outlineLevel="0" collapsed="false">
      <c r="D118" s="95"/>
      <c r="E118" s="95"/>
      <c r="F118" s="38" t="s">
        <v>87</v>
      </c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</row>
    <row r="119" customFormat="false" ht="13.8" hidden="false" customHeight="false" outlineLevel="0" collapsed="false">
      <c r="D119" s="95"/>
      <c r="E119" s="95"/>
      <c r="F119" s="38" t="s">
        <v>88</v>
      </c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</row>
    <row r="120" customFormat="false" ht="13.8" hidden="false" customHeight="false" outlineLevel="0" collapsed="false">
      <c r="D120" s="95"/>
      <c r="E120" s="95"/>
      <c r="F120" s="38" t="s">
        <v>89</v>
      </c>
      <c r="G120" s="95"/>
      <c r="H120" s="95"/>
      <c r="I120" s="95"/>
      <c r="J120" s="95"/>
      <c r="K120" s="95"/>
      <c r="L120" s="131"/>
      <c r="M120" s="95"/>
      <c r="N120" s="95"/>
      <c r="O120" s="95"/>
      <c r="P120" s="95"/>
      <c r="Q120" s="95"/>
      <c r="R120" s="95"/>
      <c r="S120" s="95"/>
      <c r="T120" s="95"/>
      <c r="U120" s="95"/>
    </row>
    <row r="121" customFormat="false" ht="13.8" hidden="false" customHeight="false" outlineLevel="0" collapsed="false">
      <c r="D121" s="95"/>
      <c r="E121" s="95"/>
      <c r="F121" s="38" t="s">
        <v>90</v>
      </c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</row>
    <row r="122" customFormat="false" ht="15.75" hidden="false" customHeight="true" outlineLevel="0" collapsed="false">
      <c r="D122" s="95"/>
      <c r="E122" s="95"/>
      <c r="F122" s="95"/>
      <c r="G122" s="95"/>
      <c r="H122" s="95"/>
      <c r="I122" s="95"/>
      <c r="J122" s="95"/>
      <c r="K122" s="95"/>
      <c r="L122" s="95"/>
      <c r="M122" s="35"/>
      <c r="N122" s="35"/>
      <c r="O122" s="95"/>
      <c r="P122" s="95"/>
      <c r="Q122" s="95"/>
      <c r="R122" s="95"/>
      <c r="S122" s="95"/>
      <c r="T122" s="95"/>
      <c r="U122" s="95"/>
    </row>
    <row r="123" customFormat="false" ht="13.8" hidden="false" customHeight="false" outlineLevel="0" collapsed="false">
      <c r="D123" s="95"/>
      <c r="E123" s="95"/>
      <c r="F123" s="95"/>
      <c r="G123" s="95"/>
      <c r="H123" s="95"/>
      <c r="I123" s="95"/>
      <c r="J123" s="95"/>
      <c r="K123" s="95"/>
      <c r="L123" s="95"/>
      <c r="M123" s="35"/>
      <c r="N123" s="35"/>
      <c r="O123" s="95"/>
      <c r="P123" s="95"/>
      <c r="Q123" s="95"/>
      <c r="R123" s="95"/>
      <c r="S123" s="95"/>
      <c r="T123" s="95"/>
      <c r="U123" s="95"/>
    </row>
    <row r="124" customFormat="false" ht="13.8" hidden="false" customHeight="false" outlineLevel="0" collapsed="false">
      <c r="D124" s="95"/>
      <c r="E124" s="95"/>
      <c r="F124" s="95"/>
      <c r="G124" s="95"/>
      <c r="H124" s="95"/>
      <c r="I124" s="95"/>
      <c r="J124" s="95"/>
      <c r="K124" s="95"/>
      <c r="L124" s="131"/>
      <c r="M124" s="127"/>
      <c r="N124" s="127"/>
      <c r="O124" s="95"/>
      <c r="P124" s="95"/>
      <c r="Q124" s="95"/>
      <c r="R124" s="95"/>
      <c r="S124" s="95"/>
      <c r="T124" s="95"/>
      <c r="U124" s="95"/>
    </row>
    <row r="125" customFormat="false" ht="13.8" hidden="false" customHeight="false" outlineLevel="0" collapsed="false">
      <c r="D125" s="95"/>
      <c r="E125" s="95"/>
      <c r="F125" s="95"/>
      <c r="G125" s="95"/>
      <c r="H125" s="95"/>
      <c r="I125" s="95"/>
      <c r="J125" s="95"/>
      <c r="K125" s="95"/>
      <c r="L125" s="131"/>
      <c r="M125" s="127"/>
      <c r="N125" s="127"/>
      <c r="O125" s="95"/>
      <c r="P125" s="95"/>
      <c r="Q125" s="95"/>
      <c r="R125" s="95"/>
      <c r="S125" s="95"/>
      <c r="T125" s="95"/>
      <c r="U125" s="95"/>
    </row>
    <row r="126" customFormat="false" ht="13.8" hidden="false" customHeight="false" outlineLevel="0" collapsed="false">
      <c r="D126" s="95"/>
      <c r="E126" s="95"/>
      <c r="F126" s="95"/>
      <c r="G126" s="95"/>
      <c r="H126" s="95"/>
      <c r="I126" s="95"/>
      <c r="J126" s="95"/>
      <c r="K126" s="95"/>
      <c r="L126" s="131"/>
      <c r="M126" s="127"/>
      <c r="N126" s="127"/>
      <c r="O126" s="95"/>
      <c r="P126" s="95"/>
      <c r="Q126" s="95"/>
      <c r="R126" s="95"/>
      <c r="S126" s="95"/>
      <c r="T126" s="95"/>
      <c r="U126" s="95"/>
    </row>
    <row r="127" customFormat="false" ht="13.8" hidden="false" customHeight="false" outlineLevel="0" collapsed="false">
      <c r="D127" s="95"/>
      <c r="E127" s="95"/>
      <c r="F127" s="95"/>
      <c r="G127" s="95"/>
      <c r="H127" s="95"/>
      <c r="I127" s="95"/>
      <c r="J127" s="95"/>
      <c r="K127" s="95"/>
      <c r="L127" s="131"/>
      <c r="M127" s="127"/>
      <c r="N127" s="127"/>
      <c r="O127" s="95"/>
      <c r="P127" s="95"/>
      <c r="Q127" s="95"/>
      <c r="R127" s="95"/>
      <c r="S127" s="95"/>
      <c r="T127" s="95"/>
      <c r="U127" s="95"/>
    </row>
    <row r="128" customFormat="false" ht="13.8" hidden="false" customHeight="false" outlineLevel="0" collapsed="false">
      <c r="D128" s="95"/>
      <c r="E128" s="95"/>
      <c r="F128" s="95"/>
      <c r="G128" s="95"/>
      <c r="H128" s="95"/>
      <c r="I128" s="95"/>
      <c r="J128" s="95"/>
      <c r="K128" s="95"/>
      <c r="L128" s="131"/>
      <c r="M128" s="127"/>
      <c r="N128" s="127"/>
      <c r="O128" s="95"/>
      <c r="P128" s="95"/>
      <c r="Q128" s="95"/>
      <c r="R128" s="95"/>
      <c r="S128" s="95"/>
      <c r="T128" s="95"/>
      <c r="U128" s="95"/>
    </row>
    <row r="129" customFormat="false" ht="13.8" hidden="false" customHeight="false" outlineLevel="0" collapsed="false">
      <c r="D129" s="95"/>
      <c r="E129" s="95"/>
      <c r="F129" s="95"/>
      <c r="G129" s="95"/>
      <c r="H129" s="95"/>
      <c r="I129" s="95"/>
      <c r="J129" s="95"/>
      <c r="K129" s="95"/>
      <c r="L129" s="131"/>
      <c r="M129" s="127"/>
      <c r="N129" s="127"/>
      <c r="O129" s="95"/>
      <c r="P129" s="95"/>
      <c r="Q129" s="95"/>
      <c r="R129" s="95"/>
      <c r="S129" s="95"/>
      <c r="T129" s="95"/>
      <c r="U129" s="95"/>
    </row>
    <row r="130" customFormat="false" ht="13.8" hidden="false" customHeight="false" outlineLevel="0" collapsed="false"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</row>
    <row r="131" customFormat="false" ht="13.8" hidden="false" customHeight="false" outlineLevel="0" collapsed="false"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</row>
    <row r="132" customFormat="false" ht="13.8" hidden="false" customHeight="false" outlineLevel="0" collapsed="false"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</row>
    <row r="133" customFormat="false" ht="13.8" hidden="false" customHeight="false" outlineLevel="0" collapsed="false"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</row>
    <row r="134" customFormat="false" ht="13.8" hidden="false" customHeight="false" outlineLevel="0" collapsed="false"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</row>
    <row r="135" customFormat="false" ht="13.8" hidden="false" customHeight="false" outlineLevel="0" collapsed="false"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</row>
    <row r="136" customFormat="false" ht="13.8" hidden="false" customHeight="false" outlineLevel="0" collapsed="false"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</row>
    <row r="137" customFormat="false" ht="13.8" hidden="false" customHeight="false" outlineLevel="0" collapsed="false"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</row>
    <row r="138" customFormat="false" ht="15" hidden="false" customHeight="false" outlineLevel="0" collapsed="false">
      <c r="D138" s="95"/>
      <c r="E138" s="125"/>
      <c r="F138" s="7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</row>
    <row r="139" customFormat="false" ht="13.8" hidden="false" customHeight="false" outlineLevel="0" collapsed="false">
      <c r="D139" s="95"/>
      <c r="E139" s="75"/>
      <c r="F139" s="133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</row>
    <row r="140" customFormat="false" ht="13.8" hidden="false" customHeight="false" outlineLevel="0" collapsed="false">
      <c r="D140" s="95"/>
      <c r="E140" s="95"/>
      <c r="F140" s="95"/>
      <c r="G140" s="95"/>
      <c r="H140" s="95"/>
      <c r="I140" s="95"/>
      <c r="J140" s="95"/>
      <c r="K140" s="131"/>
      <c r="L140" s="95"/>
      <c r="M140" s="95"/>
      <c r="N140" s="95"/>
      <c r="O140" s="95"/>
      <c r="P140" s="95"/>
      <c r="Q140" s="95"/>
      <c r="R140" s="95"/>
      <c r="S140" s="95"/>
      <c r="T140" s="95"/>
      <c r="U140" s="95"/>
    </row>
    <row r="141" customFormat="false" ht="13.8" hidden="false" customHeight="false" outlineLevel="0" collapsed="false"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</row>
    <row r="142" customFormat="false" ht="15.75" hidden="false" customHeight="true" outlineLevel="0" collapsed="false">
      <c r="D142" s="95"/>
      <c r="E142" s="95"/>
      <c r="F142" s="95"/>
      <c r="G142" s="95"/>
      <c r="H142" s="95"/>
      <c r="I142" s="95"/>
      <c r="J142" s="95"/>
      <c r="K142" s="95"/>
      <c r="L142" s="35"/>
      <c r="M142" s="35"/>
      <c r="N142" s="95"/>
      <c r="O142" s="95"/>
      <c r="P142" s="95"/>
      <c r="Q142" s="95"/>
      <c r="R142" s="95"/>
      <c r="S142" s="95"/>
      <c r="T142" s="95"/>
      <c r="U142" s="95"/>
    </row>
    <row r="143" customFormat="false" ht="13.8" hidden="false" customHeight="false" outlineLevel="0" collapsed="false">
      <c r="D143" s="95"/>
      <c r="E143" s="95"/>
      <c r="F143" s="95"/>
      <c r="G143" s="95"/>
      <c r="H143" s="95"/>
      <c r="I143" s="95"/>
      <c r="J143" s="95"/>
      <c r="K143" s="95"/>
      <c r="L143" s="35"/>
      <c r="M143" s="35"/>
      <c r="N143" s="95"/>
      <c r="O143" s="95"/>
      <c r="P143" s="95"/>
      <c r="Q143" s="95"/>
      <c r="R143" s="95"/>
      <c r="S143" s="95"/>
      <c r="T143" s="95"/>
      <c r="U143" s="95"/>
    </row>
    <row r="144" customFormat="false" ht="13.8" hidden="false" customHeight="false" outlineLevel="0" collapsed="false">
      <c r="D144" s="95"/>
      <c r="E144" s="95"/>
      <c r="F144" s="95"/>
      <c r="G144" s="95"/>
      <c r="H144" s="95"/>
      <c r="I144" s="95"/>
      <c r="J144" s="95"/>
      <c r="K144" s="131"/>
      <c r="L144" s="127"/>
      <c r="M144" s="127"/>
      <c r="N144" s="95"/>
      <c r="O144" s="95"/>
      <c r="P144" s="95"/>
      <c r="Q144" s="95"/>
      <c r="R144" s="95"/>
      <c r="S144" s="95"/>
      <c r="T144" s="95"/>
      <c r="U144" s="95"/>
    </row>
    <row r="145" customFormat="false" ht="13.8" hidden="false" customHeight="false" outlineLevel="0" collapsed="false">
      <c r="D145" s="95"/>
      <c r="E145" s="95"/>
      <c r="F145" s="95"/>
      <c r="G145" s="95"/>
      <c r="H145" s="95"/>
      <c r="I145" s="95"/>
      <c r="J145" s="95"/>
      <c r="K145" s="131"/>
      <c r="L145" s="127"/>
      <c r="M145" s="127"/>
      <c r="N145" s="95"/>
      <c r="O145" s="95"/>
      <c r="P145" s="95"/>
      <c r="Q145" s="95"/>
      <c r="R145" s="95"/>
      <c r="S145" s="95"/>
      <c r="T145" s="95"/>
      <c r="U145" s="95"/>
    </row>
    <row r="146" customFormat="false" ht="13.8" hidden="false" customHeight="false" outlineLevel="0" collapsed="false">
      <c r="D146" s="95"/>
      <c r="E146" s="95"/>
      <c r="F146" s="95"/>
      <c r="G146" s="95"/>
      <c r="H146" s="95"/>
      <c r="I146" s="95"/>
      <c r="J146" s="95"/>
      <c r="K146" s="131"/>
      <c r="L146" s="127"/>
      <c r="M146" s="127"/>
      <c r="N146" s="95"/>
      <c r="O146" s="95"/>
      <c r="P146" s="95"/>
      <c r="Q146" s="95"/>
      <c r="R146" s="95"/>
      <c r="S146" s="95"/>
      <c r="T146" s="95"/>
      <c r="U146" s="95"/>
    </row>
    <row r="147" customFormat="false" ht="13.8" hidden="false" customHeight="false" outlineLevel="0" collapsed="false"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</row>
    <row r="148" customFormat="false" ht="13.8" hidden="false" customHeight="false" outlineLevel="0" collapsed="false"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</row>
    <row r="149" customFormat="false" ht="13.8" hidden="false" customHeight="false" outlineLevel="0" collapsed="false"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</row>
    <row r="150" customFormat="false" ht="15.75" hidden="false" customHeight="true" outlineLevel="0" collapsed="false">
      <c r="D150" s="95"/>
      <c r="E150" s="95"/>
      <c r="F150" s="95"/>
      <c r="G150" s="95"/>
      <c r="H150" s="95"/>
      <c r="I150" s="95"/>
      <c r="J150" s="95"/>
      <c r="K150" s="95"/>
      <c r="L150" s="95"/>
      <c r="M150" s="35"/>
      <c r="N150" s="35"/>
      <c r="O150" s="95"/>
      <c r="P150" s="95"/>
      <c r="Q150" s="95"/>
      <c r="R150" s="95"/>
      <c r="S150" s="95"/>
      <c r="T150" s="95"/>
      <c r="U150" s="95"/>
    </row>
    <row r="151" customFormat="false" ht="13.8" hidden="false" customHeight="false" outlineLevel="0" collapsed="false">
      <c r="D151" s="95"/>
      <c r="E151" s="95"/>
      <c r="F151" s="95"/>
      <c r="G151" s="95"/>
      <c r="H151" s="95"/>
      <c r="I151" s="95"/>
      <c r="J151" s="95"/>
      <c r="K151" s="95"/>
      <c r="L151" s="95"/>
      <c r="M151" s="35"/>
      <c r="N151" s="35"/>
      <c r="O151" s="95"/>
      <c r="P151" s="95"/>
      <c r="Q151" s="95"/>
      <c r="R151" s="95"/>
      <c r="S151" s="95"/>
      <c r="T151" s="95"/>
      <c r="U151" s="95"/>
    </row>
    <row r="152" customFormat="false" ht="13.8" hidden="false" customHeight="false" outlineLevel="0" collapsed="false">
      <c r="D152" s="95"/>
      <c r="E152" s="95"/>
      <c r="F152" s="95"/>
      <c r="G152" s="95"/>
      <c r="H152" s="95"/>
      <c r="I152" s="95"/>
      <c r="J152" s="95"/>
      <c r="K152" s="95"/>
      <c r="L152" s="131"/>
      <c r="M152" s="127"/>
      <c r="N152" s="127"/>
      <c r="O152" s="95"/>
      <c r="P152" s="95"/>
      <c r="Q152" s="95"/>
      <c r="R152" s="95"/>
      <c r="S152" s="95"/>
      <c r="T152" s="95"/>
      <c r="U152" s="95"/>
    </row>
    <row r="153" customFormat="false" ht="13.8" hidden="false" customHeight="false" outlineLevel="0" collapsed="false">
      <c r="D153" s="95"/>
      <c r="E153" s="95"/>
      <c r="F153" s="95"/>
      <c r="G153" s="95"/>
      <c r="H153" s="95"/>
      <c r="I153" s="95"/>
      <c r="J153" s="95"/>
      <c r="K153" s="95"/>
      <c r="L153" s="131"/>
      <c r="M153" s="127"/>
      <c r="N153" s="127"/>
      <c r="O153" s="95"/>
      <c r="P153" s="95"/>
      <c r="Q153" s="95"/>
      <c r="R153" s="95"/>
      <c r="S153" s="95"/>
      <c r="T153" s="95"/>
      <c r="U153" s="95"/>
    </row>
    <row r="154" customFormat="false" ht="13.8" hidden="false" customHeight="false" outlineLevel="0" collapsed="false">
      <c r="D154" s="95"/>
      <c r="E154" s="95"/>
      <c r="F154" s="95"/>
      <c r="G154" s="95"/>
      <c r="H154" s="95"/>
      <c r="I154" s="95"/>
      <c r="J154" s="95"/>
      <c r="K154" s="95"/>
      <c r="L154" s="131"/>
      <c r="M154" s="127"/>
      <c r="N154" s="127"/>
      <c r="O154" s="95"/>
      <c r="P154" s="95"/>
      <c r="Q154" s="95"/>
      <c r="R154" s="95"/>
      <c r="S154" s="95"/>
      <c r="T154" s="95"/>
      <c r="U154" s="95"/>
    </row>
    <row r="155" customFormat="false" ht="13.8" hidden="false" customHeight="false" outlineLevel="0" collapsed="false">
      <c r="D155" s="95"/>
      <c r="E155" s="95"/>
      <c r="F155" s="95"/>
      <c r="G155" s="95"/>
      <c r="H155" s="95"/>
      <c r="I155" s="95"/>
      <c r="J155" s="95"/>
      <c r="K155" s="95"/>
      <c r="L155" s="131"/>
      <c r="M155" s="127"/>
      <c r="N155" s="127"/>
      <c r="O155" s="95"/>
      <c r="P155" s="95"/>
      <c r="Q155" s="95"/>
      <c r="R155" s="95"/>
      <c r="S155" s="95"/>
      <c r="T155" s="95"/>
      <c r="U155" s="95"/>
    </row>
    <row r="156" customFormat="false" ht="13.8" hidden="false" customHeight="false" outlineLevel="0" collapsed="false">
      <c r="D156" s="95"/>
      <c r="E156" s="95"/>
      <c r="F156" s="95"/>
      <c r="G156" s="95"/>
      <c r="H156" s="95"/>
      <c r="I156" s="95"/>
      <c r="J156" s="95"/>
      <c r="K156" s="95"/>
      <c r="L156" s="131"/>
      <c r="M156" s="127"/>
      <c r="N156" s="127"/>
      <c r="O156" s="95"/>
      <c r="P156" s="95"/>
      <c r="Q156" s="95"/>
      <c r="R156" s="95"/>
      <c r="S156" s="95"/>
      <c r="T156" s="95"/>
      <c r="U156" s="95"/>
    </row>
    <row r="157" customFormat="false" ht="13.8" hidden="false" customHeight="false" outlineLevel="0" collapsed="false">
      <c r="D157" s="95"/>
      <c r="E157" s="95"/>
      <c r="F157" s="95"/>
      <c r="G157" s="95"/>
      <c r="H157" s="95"/>
      <c r="I157" s="95"/>
      <c r="J157" s="95"/>
      <c r="K157" s="95"/>
      <c r="L157" s="131"/>
      <c r="M157" s="127"/>
      <c r="N157" s="127"/>
      <c r="O157" s="95"/>
      <c r="P157" s="95"/>
      <c r="Q157" s="95"/>
      <c r="R157" s="95"/>
      <c r="S157" s="95"/>
      <c r="T157" s="95"/>
      <c r="U157" s="95"/>
    </row>
    <row r="158" customFormat="false" ht="13.8" hidden="false" customHeight="false" outlineLevel="0" collapsed="false"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</row>
    <row r="159" customFormat="false" ht="13.8" hidden="false" customHeight="false" outlineLevel="0" collapsed="false"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</row>
    <row r="160" customFormat="false" ht="13.8" hidden="false" customHeight="false" outlineLevel="0" collapsed="false"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</row>
    <row r="161" customFormat="false" ht="13.8" hidden="false" customHeight="false" outlineLevel="0" collapsed="false"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</row>
    <row r="162" customFormat="false" ht="13.8" hidden="false" customHeight="false" outlineLevel="0" collapsed="false"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</row>
    <row r="163" customFormat="false" ht="13.8" hidden="false" customHeight="false" outlineLevel="0" collapsed="false"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</row>
    <row r="164" customFormat="false" ht="13.8" hidden="false" customHeight="false" outlineLevel="0" collapsed="false"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</row>
    <row r="165" customFormat="false" ht="13.8" hidden="false" customHeight="false" outlineLevel="0" collapsed="false"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</row>
    <row r="166" customFormat="false" ht="13.8" hidden="false" customHeight="false" outlineLevel="0" collapsed="false"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</row>
    <row r="167" customFormat="false" ht="13.8" hidden="false" customHeight="false" outlineLevel="0" collapsed="false"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</row>
    <row r="168" customFormat="false" ht="13.8" hidden="false" customHeight="false" outlineLevel="0" collapsed="false">
      <c r="D168" s="95"/>
      <c r="E168" s="95"/>
      <c r="F168" s="95"/>
      <c r="G168" s="95"/>
      <c r="H168" s="95"/>
      <c r="I168" s="95"/>
      <c r="J168" s="95"/>
      <c r="K168" s="95"/>
      <c r="L168" s="131"/>
      <c r="M168" s="95"/>
      <c r="N168" s="95"/>
      <c r="O168" s="95"/>
      <c r="P168" s="95"/>
      <c r="Q168" s="95"/>
      <c r="R168" s="95"/>
      <c r="S168" s="95"/>
      <c r="T168" s="95"/>
      <c r="U168" s="95"/>
    </row>
    <row r="169" customFormat="false" ht="13.8" hidden="false" customHeight="false" outlineLevel="0" collapsed="false"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</row>
    <row r="170" customFormat="false" ht="15.75" hidden="false" customHeight="true" outlineLevel="0" collapsed="false">
      <c r="D170" s="95"/>
      <c r="E170" s="95"/>
      <c r="F170" s="95"/>
      <c r="G170" s="95"/>
      <c r="H170" s="95"/>
      <c r="I170" s="95"/>
      <c r="J170" s="95"/>
      <c r="K170" s="95"/>
      <c r="L170" s="95"/>
      <c r="M170" s="35"/>
      <c r="N170" s="35"/>
      <c r="O170" s="95"/>
      <c r="P170" s="95"/>
      <c r="Q170" s="95"/>
      <c r="R170" s="95"/>
      <c r="S170" s="95"/>
      <c r="T170" s="95"/>
      <c r="U170" s="95"/>
    </row>
    <row r="171" customFormat="false" ht="13.8" hidden="false" customHeight="false" outlineLevel="0" collapsed="false">
      <c r="D171" s="95"/>
      <c r="E171" s="95"/>
      <c r="F171" s="95"/>
      <c r="G171" s="95"/>
      <c r="H171" s="95"/>
      <c r="I171" s="95"/>
      <c r="J171" s="95"/>
      <c r="K171" s="95"/>
      <c r="L171" s="95"/>
      <c r="M171" s="35"/>
      <c r="N171" s="35"/>
      <c r="O171" s="95"/>
      <c r="P171" s="95"/>
      <c r="Q171" s="95"/>
      <c r="R171" s="95"/>
      <c r="S171" s="95"/>
      <c r="T171" s="95"/>
      <c r="U171" s="95"/>
    </row>
    <row r="172" customFormat="false" ht="13.8" hidden="false" customHeight="false" outlineLevel="0" collapsed="false">
      <c r="D172" s="95"/>
      <c r="E172" s="95"/>
      <c r="F172" s="95"/>
      <c r="G172" s="95"/>
      <c r="H172" s="95"/>
      <c r="I172" s="95"/>
      <c r="J172" s="95"/>
      <c r="K172" s="95"/>
      <c r="L172" s="131"/>
      <c r="M172" s="127"/>
      <c r="N172" s="127"/>
      <c r="O172" s="95"/>
      <c r="P172" s="95"/>
      <c r="Q172" s="95"/>
      <c r="R172" s="95"/>
      <c r="S172" s="95"/>
      <c r="T172" s="95"/>
      <c r="U172" s="95"/>
    </row>
    <row r="173" customFormat="false" ht="13.8" hidden="false" customHeight="false" outlineLevel="0" collapsed="false">
      <c r="D173" s="95"/>
      <c r="E173" s="95"/>
      <c r="F173" s="95"/>
      <c r="G173" s="95"/>
      <c r="H173" s="95"/>
      <c r="I173" s="95"/>
      <c r="J173" s="95"/>
      <c r="K173" s="95"/>
      <c r="L173" s="131"/>
      <c r="M173" s="127"/>
      <c r="N173" s="127"/>
      <c r="O173" s="95"/>
      <c r="P173" s="95"/>
      <c r="Q173" s="95"/>
      <c r="R173" s="95"/>
      <c r="S173" s="95"/>
      <c r="T173" s="95"/>
      <c r="U173" s="95"/>
    </row>
    <row r="174" customFormat="false" ht="13.8" hidden="false" customHeight="false" outlineLevel="0" collapsed="false">
      <c r="D174" s="95"/>
      <c r="E174" s="95"/>
      <c r="F174" s="95"/>
      <c r="G174" s="95"/>
      <c r="H174" s="95"/>
      <c r="I174" s="95"/>
      <c r="J174" s="95"/>
      <c r="K174" s="95"/>
      <c r="L174" s="131"/>
      <c r="M174" s="127"/>
      <c r="N174" s="127"/>
      <c r="O174" s="95"/>
      <c r="P174" s="95"/>
      <c r="Q174" s="95"/>
      <c r="R174" s="95"/>
      <c r="S174" s="95"/>
      <c r="T174" s="95"/>
      <c r="U174" s="95"/>
    </row>
    <row r="175" customFormat="false" ht="13.8" hidden="false" customHeight="false" outlineLevel="0" collapsed="false">
      <c r="D175" s="95"/>
      <c r="E175" s="95"/>
      <c r="F175" s="95"/>
      <c r="G175" s="95"/>
      <c r="H175" s="95"/>
      <c r="I175" s="95"/>
      <c r="J175" s="95"/>
      <c r="K175" s="95"/>
      <c r="L175" s="131"/>
      <c r="M175" s="127"/>
      <c r="N175" s="127"/>
      <c r="O175" s="95"/>
      <c r="P175" s="95"/>
      <c r="Q175" s="95"/>
      <c r="R175" s="95"/>
      <c r="S175" s="95"/>
      <c r="T175" s="95"/>
      <c r="U175" s="95"/>
    </row>
    <row r="176" customFormat="false" ht="13.8" hidden="false" customHeight="false" outlineLevel="0" collapsed="false">
      <c r="D176" s="95"/>
      <c r="E176" s="95"/>
      <c r="F176" s="95"/>
      <c r="G176" s="95"/>
      <c r="H176" s="95"/>
      <c r="I176" s="95"/>
      <c r="J176" s="95"/>
      <c r="K176" s="95"/>
      <c r="L176" s="131"/>
      <c r="M176" s="127"/>
      <c r="N176" s="127"/>
      <c r="O176" s="95"/>
      <c r="P176" s="95"/>
      <c r="Q176" s="95"/>
      <c r="R176" s="95"/>
      <c r="S176" s="95"/>
      <c r="T176" s="95"/>
      <c r="U176" s="95"/>
    </row>
    <row r="177" customFormat="false" ht="13.8" hidden="false" customHeight="false" outlineLevel="0" collapsed="false">
      <c r="D177" s="95"/>
      <c r="E177" s="95"/>
      <c r="F177" s="95"/>
      <c r="G177" s="95"/>
      <c r="H177" s="95"/>
      <c r="I177" s="95"/>
      <c r="J177" s="95"/>
      <c r="K177" s="95"/>
      <c r="L177" s="131"/>
      <c r="M177" s="127"/>
      <c r="N177" s="127"/>
      <c r="O177" s="95"/>
      <c r="P177" s="95"/>
      <c r="Q177" s="95"/>
      <c r="R177" s="95"/>
      <c r="S177" s="95"/>
      <c r="T177" s="95"/>
      <c r="U177" s="95"/>
    </row>
    <row r="178" customFormat="false" ht="13.8" hidden="false" customHeight="false" outlineLevel="0" collapsed="false"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</row>
    <row r="179" customFormat="false" ht="13.8" hidden="false" customHeight="false" outlineLevel="0" collapsed="false"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</row>
    <row r="180" customFormat="false" ht="13.8" hidden="false" customHeight="false" outlineLevel="0" collapsed="false"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</row>
    <row r="181" customFormat="false" ht="13.8" hidden="false" customHeight="false" outlineLevel="0" collapsed="false"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</row>
    <row r="182" customFormat="false" ht="13.8" hidden="false" customHeight="false" outlineLevel="0" collapsed="false"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</row>
    <row r="183" customFormat="false" ht="13.8" hidden="false" customHeight="false" outlineLevel="0" collapsed="false"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</row>
    <row r="184" customFormat="false" ht="13.8" hidden="false" customHeight="false" outlineLevel="0" collapsed="false"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</row>
    <row r="185" customFormat="false" ht="13.8" hidden="false" customHeight="false" outlineLevel="0" collapsed="false"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</row>
    <row r="186" customFormat="false" ht="13.8" hidden="false" customHeight="false" outlineLevel="0" collapsed="false"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</row>
    <row r="187" customFormat="false" ht="13.8" hidden="false" customHeight="false" outlineLevel="0" collapsed="false"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</row>
  </sheetData>
  <sheetProtection sheet="true" password="e929" objects="true" scenarios="true"/>
  <mergeCells count="12">
    <mergeCell ref="D2:F2"/>
    <mergeCell ref="E5:F5"/>
    <mergeCell ref="E16:F16"/>
    <mergeCell ref="E25:F25"/>
    <mergeCell ref="D33:F33"/>
    <mergeCell ref="E36:E37"/>
    <mergeCell ref="F47:F48"/>
    <mergeCell ref="G47:G48"/>
    <mergeCell ref="F80:F81"/>
    <mergeCell ref="G80:G81"/>
    <mergeCell ref="F98:F99"/>
    <mergeCell ref="G98:G99"/>
  </mergeCells>
  <dataValidations count="2">
    <dataValidation allowBlank="true" operator="equal" showDropDown="false" showErrorMessage="true" showInputMessage="false" sqref="M120 L140 M168" type="list">
      <formula1>#ref!</formula1>
      <formula2>0</formula2>
    </dataValidation>
    <dataValidation allowBlank="true" operator="equal" showDropDown="false" showErrorMessage="true" showInputMessage="false" sqref="F45 F96" type="list">
      <formula1>'Previsió emissions futures'!$C$12:$C$61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BM16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3.78"/>
    <col collapsed="false" customWidth="true" hidden="false" outlineLevel="0" max="2" min="2" style="4" width="50.44"/>
    <col collapsed="false" customWidth="true" hidden="false" outlineLevel="0" max="3" min="3" style="4" width="40.35"/>
    <col collapsed="false" customWidth="true" hidden="false" outlineLevel="0" max="5" min="4" style="4" width="35.77"/>
    <col collapsed="false" customWidth="true" hidden="false" outlineLevel="0" max="7" min="6" style="4" width="22.55"/>
    <col collapsed="false" customWidth="true" hidden="false" outlineLevel="0" max="8" min="8" style="4" width="22.11"/>
    <col collapsed="false" customWidth="true" hidden="false" outlineLevel="0" max="9" min="9" style="4" width="24.11"/>
    <col collapsed="false" customWidth="true" hidden="false" outlineLevel="0" max="10" min="10" style="4" width="23.35"/>
    <col collapsed="false" customWidth="true" hidden="false" outlineLevel="0" max="11" min="11" style="4" width="24"/>
    <col collapsed="false" customWidth="true" hidden="false" outlineLevel="0" max="12" min="12" style="4" width="18.12"/>
    <col collapsed="false" customWidth="true" hidden="false" outlineLevel="0" max="13" min="13" style="4" width="21.89"/>
    <col collapsed="false" customWidth="true" hidden="false" outlineLevel="0" max="14" min="14" style="4" width="17.56"/>
    <col collapsed="false" customWidth="true" hidden="false" outlineLevel="0" max="15" min="15" style="4" width="22.55"/>
    <col collapsed="false" customWidth="true" hidden="false" outlineLevel="0" max="16" min="16" style="4" width="21.1"/>
    <col collapsed="false" customWidth="true" hidden="false" outlineLevel="0" max="17" min="17" style="4" width="12.78"/>
    <col collapsed="false" customWidth="true" hidden="false" outlineLevel="0" max="18" min="18" style="4" width="18.33"/>
    <col collapsed="false" customWidth="true" hidden="false" outlineLevel="0" max="65" min="19" style="4" width="11.57"/>
    <col collapsed="false" customWidth="true" hidden="false" outlineLevel="0" max="1025" min="66" style="1" width="8.67"/>
  </cols>
  <sheetData>
    <row r="1" customFormat="false" ht="18.6" hidden="false" customHeight="false" outlineLevel="0" collapsed="false">
      <c r="B1" s="5"/>
      <c r="C1" s="5"/>
      <c r="D1" s="5"/>
      <c r="E1" s="134"/>
      <c r="F1" s="134"/>
      <c r="G1" s="134"/>
      <c r="I1" s="135"/>
    </row>
    <row r="2" customFormat="false" ht="18.6" hidden="false" customHeight="false" outlineLevel="0" collapsed="false">
      <c r="B2" s="8" t="s">
        <v>185</v>
      </c>
      <c r="C2" s="8"/>
      <c r="D2" s="8"/>
      <c r="E2" s="134"/>
      <c r="F2" s="134"/>
      <c r="G2" s="134"/>
      <c r="I2" s="135"/>
    </row>
    <row r="3" customFormat="false" ht="14.4" hidden="false" customHeight="false" outlineLevel="0" collapsed="false">
      <c r="B3" s="136"/>
      <c r="C3" s="136"/>
      <c r="E3" s="134"/>
      <c r="F3" s="134"/>
      <c r="G3" s="134"/>
    </row>
    <row r="4" customFormat="false" ht="14.4" hidden="false" customHeight="false" outlineLevel="0" collapsed="false">
      <c r="B4" s="136"/>
      <c r="C4" s="136"/>
      <c r="E4" s="134"/>
      <c r="F4" s="134"/>
      <c r="G4" s="134"/>
    </row>
    <row r="5" customFormat="false" ht="14.4" hidden="false" customHeight="false" outlineLevel="0" collapsed="false">
      <c r="B5" s="137" t="s">
        <v>186</v>
      </c>
      <c r="C5" s="13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S5" s="84"/>
    </row>
    <row r="6" customFormat="false" ht="14.4" hidden="false" customHeight="false" outlineLevel="0" collapsed="false">
      <c r="B6" s="138" t="s">
        <v>172</v>
      </c>
      <c r="C6" s="138" t="s">
        <v>187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39"/>
      <c r="AB6" s="140"/>
      <c r="AC6" s="141"/>
      <c r="AD6" s="140"/>
      <c r="AF6" s="140"/>
      <c r="AH6" s="140"/>
    </row>
    <row r="7" customFormat="false" ht="14.4" hidden="false" customHeight="false" outlineLevel="0" collapsed="false">
      <c r="B7" s="142" t="n">
        <f aca="false">Dades!F6-1</f>
        <v>-1</v>
      </c>
      <c r="C7" s="143" t="e">
        <f aca="false">VLOOKUP(B7,mix_electric,2,FALSE())</f>
        <v>#N/A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39"/>
      <c r="AB7" s="144"/>
      <c r="AC7" s="145"/>
      <c r="AD7" s="144"/>
      <c r="AE7" s="145"/>
      <c r="AF7" s="144"/>
      <c r="AG7" s="145"/>
      <c r="AH7" s="144"/>
      <c r="AI7" s="145"/>
    </row>
    <row r="8" customFormat="false" ht="14.4" hidden="false" customHeight="false" outlineLevel="0" collapsed="false">
      <c r="B8" s="84"/>
      <c r="C8" s="8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39"/>
      <c r="AB8" s="146"/>
      <c r="AC8" s="145"/>
      <c r="AD8" s="146"/>
      <c r="AE8" s="147"/>
      <c r="AF8" s="146"/>
      <c r="AG8" s="147"/>
      <c r="AH8" s="146"/>
      <c r="AI8" s="147"/>
    </row>
    <row r="9" customFormat="false" ht="14.4" hidden="false" customHeight="false" outlineLevel="0" collapsed="false">
      <c r="B9" s="137" t="s">
        <v>188</v>
      </c>
      <c r="C9" s="1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39"/>
      <c r="AB9" s="68"/>
      <c r="AC9" s="145"/>
      <c r="AD9" s="68"/>
      <c r="AE9" s="145"/>
      <c r="AF9" s="68"/>
      <c r="AG9" s="145"/>
      <c r="AH9" s="68"/>
      <c r="AI9" s="145"/>
    </row>
    <row r="10" customFormat="false" ht="13.8" hidden="false" customHeight="false" outlineLevel="0" collapsed="false">
      <c r="B10" s="148" t="s">
        <v>189</v>
      </c>
      <c r="C10" s="149" t="n">
        <v>0.2016</v>
      </c>
      <c r="E10" s="8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84"/>
    </row>
    <row r="11" customFormat="false" ht="13.8" hidden="false" customHeight="false" outlineLevel="0" collapsed="false">
      <c r="B11" s="148" t="s">
        <v>190</v>
      </c>
      <c r="C11" s="149" t="n">
        <v>0.234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84"/>
    </row>
    <row r="12" customFormat="false" ht="13.8" hidden="false" customHeight="false" outlineLevel="0" collapsed="false">
      <c r="B12" s="148" t="s">
        <v>191</v>
      </c>
      <c r="C12" s="149" t="n">
        <v>0.2628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4"/>
    </row>
    <row r="13" customFormat="false" ht="14.4" hidden="false" customHeight="false" outlineLevel="0" collapsed="false">
      <c r="B13" s="84"/>
      <c r="C13" s="84"/>
      <c r="E13" s="1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customFormat="false" ht="14.4" hidden="false" customHeight="false" outlineLevel="0" collapsed="false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customFormat="false" ht="13.8" hidden="false" customHeight="true" outlineLevel="0" collapsed="false">
      <c r="B15" s="151" t="s">
        <v>192</v>
      </c>
      <c r="C15" s="137" t="s">
        <v>193</v>
      </c>
      <c r="D15" s="137" t="s">
        <v>194</v>
      </c>
      <c r="E15" s="84"/>
      <c r="F15" s="152" t="s">
        <v>195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customFormat="false" ht="15.75" hidden="false" customHeight="true" outlineLevel="0" collapsed="false">
      <c r="B16" s="153" t="s">
        <v>96</v>
      </c>
      <c r="C16" s="143" t="n">
        <f aca="false">B23*Dades!E36+B25*Dades!F36</f>
        <v>73.5287485907554</v>
      </c>
      <c r="D16" s="143" t="n">
        <f aca="false">C16*(1-F19)</f>
        <v>29.4114994363021</v>
      </c>
      <c r="E16" s="84"/>
      <c r="F16" s="15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customFormat="false" ht="14.4" hidden="false" customHeight="false" outlineLevel="0" collapsed="false">
      <c r="B17" s="153" t="s">
        <v>97</v>
      </c>
      <c r="C17" s="143" t="n">
        <f aca="false">D23*Dades!E53+D25*Dades!F53</f>
        <v>92.8</v>
      </c>
      <c r="D17" s="143" t="n">
        <f aca="false">C17*(1-F19)</f>
        <v>37.12</v>
      </c>
      <c r="E17" s="84"/>
      <c r="F17" s="15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customFormat="false" ht="14.85" hidden="false" customHeight="true" outlineLevel="0" collapsed="false">
      <c r="B18" s="153" t="s">
        <v>98</v>
      </c>
      <c r="C18" s="143" t="n">
        <f aca="false">F23*Dades!E70+F25*Dades!F70</f>
        <v>100</v>
      </c>
      <c r="D18" s="143" t="n">
        <f aca="false">C18</f>
        <v>100</v>
      </c>
      <c r="E18" s="84"/>
      <c r="F18" s="15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customFormat="false" ht="13.8" hidden="false" customHeight="false" outlineLevel="0" collapsed="false">
      <c r="B19" s="153" t="s">
        <v>99</v>
      </c>
      <c r="C19" s="143" t="n">
        <f aca="false">H23*Dades!E87+H25*Dades!F87</f>
        <v>176.45</v>
      </c>
      <c r="D19" s="143" t="n">
        <f aca="false">C19*(1-F19)</f>
        <v>70.58</v>
      </c>
      <c r="E19" s="1"/>
      <c r="F19" s="154" t="n">
        <v>0.6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customFormat="false" ht="14.4" hidden="false" customHeight="false" outlineLevel="0" collapsed="false">
      <c r="B20" s="84"/>
      <c r="C20" s="84"/>
      <c r="E20" s="1"/>
      <c r="F20" s="1"/>
      <c r="G20" s="1"/>
      <c r="H20" s="1"/>
      <c r="I20" s="1"/>
      <c r="J20" s="1"/>
      <c r="K20" s="139"/>
      <c r="L20" s="1"/>
      <c r="M20" s="1"/>
      <c r="N20" s="1"/>
      <c r="O20" s="1"/>
      <c r="P20" s="1"/>
      <c r="Q20" s="1"/>
      <c r="R20" s="1"/>
    </row>
    <row r="21" customFormat="false" ht="14.4" hidden="false" customHeight="false" outlineLevel="0" collapsed="false">
      <c r="B21" s="1"/>
      <c r="C21" s="1"/>
      <c r="D21" s="1"/>
      <c r="E21" s="1"/>
      <c r="F21" s="1"/>
      <c r="G21" s="1"/>
      <c r="H21" s="1"/>
      <c r="I21" s="1"/>
      <c r="K21" s="139"/>
      <c r="L21" s="1"/>
      <c r="M21" s="1"/>
      <c r="N21" s="1"/>
      <c r="O21" s="1"/>
      <c r="P21" s="1"/>
      <c r="Q21" s="1"/>
      <c r="R21" s="1"/>
    </row>
    <row r="22" customFormat="false" ht="14.4" hidden="false" customHeight="false" outlineLevel="0" collapsed="false">
      <c r="B22" s="23" t="s">
        <v>196</v>
      </c>
      <c r="C22" s="141"/>
      <c r="D22" s="23" t="s">
        <v>197</v>
      </c>
      <c r="F22" s="23" t="s">
        <v>198</v>
      </c>
      <c r="H22" s="23" t="s">
        <v>40</v>
      </c>
      <c r="K22" s="139"/>
      <c r="L22" s="1"/>
      <c r="M22" s="1"/>
      <c r="N22" s="1"/>
      <c r="O22" s="1"/>
      <c r="P22" s="1"/>
      <c r="Q22" s="1"/>
      <c r="R22" s="1"/>
    </row>
    <row r="23" customFormat="false" ht="15.75" hidden="false" customHeight="true" outlineLevel="0" collapsed="false">
      <c r="B23" s="155" t="n">
        <f aca="false">D29/C29</f>
        <v>73.5287485907554</v>
      </c>
      <c r="C23" s="145" t="s">
        <v>199</v>
      </c>
      <c r="D23" s="156" t="n">
        <v>125.6</v>
      </c>
      <c r="E23" s="145" t="s">
        <v>199</v>
      </c>
      <c r="F23" s="149" t="n">
        <f aca="false">B23</f>
        <v>73.5287485907554</v>
      </c>
      <c r="G23" s="145" t="s">
        <v>199</v>
      </c>
      <c r="H23" s="156" t="n">
        <v>140.4</v>
      </c>
      <c r="I23" s="145" t="s">
        <v>199</v>
      </c>
      <c r="K23" s="139"/>
    </row>
    <row r="24" customFormat="false" ht="14.4" hidden="false" customHeight="false" outlineLevel="0" collapsed="false">
      <c r="B24" s="157" t="s">
        <v>200</v>
      </c>
      <c r="C24" s="145"/>
      <c r="D24" s="157" t="s">
        <v>201</v>
      </c>
      <c r="E24" s="147"/>
      <c r="F24" s="157" t="s">
        <v>202</v>
      </c>
      <c r="G24" s="147"/>
      <c r="H24" s="157" t="s">
        <v>203</v>
      </c>
      <c r="I24" s="147"/>
      <c r="K24" s="139"/>
    </row>
    <row r="25" customFormat="false" ht="13.8" hidden="false" customHeight="false" outlineLevel="0" collapsed="false">
      <c r="B25" s="143" t="n">
        <f aca="false">D30/C30</f>
        <v>103.947368421053</v>
      </c>
      <c r="C25" s="145" t="s">
        <v>199</v>
      </c>
      <c r="D25" s="149" t="n">
        <v>92.8</v>
      </c>
      <c r="E25" s="145" t="s">
        <v>199</v>
      </c>
      <c r="F25" s="149" t="n">
        <v>100</v>
      </c>
      <c r="G25" s="145" t="s">
        <v>199</v>
      </c>
      <c r="H25" s="149" t="n">
        <v>176.45</v>
      </c>
      <c r="I25" s="145" t="s">
        <v>199</v>
      </c>
      <c r="K25" s="84"/>
    </row>
    <row r="26" customFormat="false" ht="14.4" hidden="false" customHeight="false" outlineLevel="0" collapsed="false">
      <c r="K26" s="84"/>
    </row>
    <row r="28" customFormat="false" ht="14.4" hidden="false" customHeight="false" outlineLevel="0" collapsed="false">
      <c r="C28" s="23" t="s">
        <v>204</v>
      </c>
      <c r="D28" s="23" t="s">
        <v>205</v>
      </c>
    </row>
    <row r="29" customFormat="false" ht="13.8" hidden="false" customHeight="false" outlineLevel="0" collapsed="false">
      <c r="B29" s="157" t="s">
        <v>206</v>
      </c>
      <c r="C29" s="156" t="n">
        <v>88.7</v>
      </c>
      <c r="D29" s="156" t="n">
        <v>6522</v>
      </c>
    </row>
    <row r="30" customFormat="false" ht="13.8" hidden="false" customHeight="false" outlineLevel="0" collapsed="false">
      <c r="B30" s="157" t="s">
        <v>200</v>
      </c>
      <c r="C30" s="149" t="n">
        <v>136.8</v>
      </c>
      <c r="D30" s="149" t="n">
        <v>14220</v>
      </c>
    </row>
    <row r="31" customFormat="false" ht="14.4" hidden="false" customHeight="false" outlineLevel="0" collapsed="false">
      <c r="K31" s="1"/>
    </row>
    <row r="32" customFormat="false" ht="14.4" hidden="false" customHeight="false" outlineLevel="0" collapsed="false">
      <c r="J32" s="1"/>
      <c r="K32" s="1"/>
    </row>
    <row r="33" customFormat="false" ht="14.4" hidden="false" customHeight="false" outlineLevel="0" collapsed="false">
      <c r="B33" s="137" t="s">
        <v>207</v>
      </c>
      <c r="C33" s="137"/>
      <c r="D33" s="137" t="s">
        <v>208</v>
      </c>
      <c r="E33" s="137" t="s">
        <v>209</v>
      </c>
      <c r="H33" s="1"/>
      <c r="I33" s="1"/>
      <c r="J33" s="1"/>
      <c r="K33" s="1"/>
    </row>
    <row r="34" customFormat="false" ht="13.8" hidden="false" customHeight="false" outlineLevel="0" collapsed="false">
      <c r="B34" s="148" t="s">
        <v>210</v>
      </c>
      <c r="C34" s="158" t="n">
        <f aca="false">IF(Dades!$F$5="Palma",D34,E34)</f>
        <v>0.735865079330939</v>
      </c>
      <c r="D34" s="159" t="n">
        <f aca="false">593949.38/995013.51</f>
        <v>0.596925945256763</v>
      </c>
      <c r="E34" s="160" t="n">
        <f aca="false">(1635723.22-593949.38)/(2410726.62-995013.51)</f>
        <v>0.735865079330939</v>
      </c>
      <c r="H34" s="1"/>
      <c r="I34" s="1"/>
      <c r="J34" s="1"/>
      <c r="K34" s="1"/>
    </row>
    <row r="35" customFormat="false" ht="13.8" hidden="false" customHeight="false" outlineLevel="0" collapsed="false">
      <c r="B35" s="148" t="s">
        <v>189</v>
      </c>
      <c r="C35" s="158" t="n">
        <f aca="false">IF(Dades!$F$5="Palma",D35,E35)</f>
        <v>0.0251536909197655</v>
      </c>
      <c r="D35" s="159" t="n">
        <f aca="false">263748.68/995013.51</f>
        <v>0.265070451153975</v>
      </c>
      <c r="E35" s="160" t="n">
        <f aca="false">(299359.09-263748.68)/(2410726.62-995013.51)</f>
        <v>0.0251536909197655</v>
      </c>
      <c r="H35" s="1"/>
      <c r="I35" s="1"/>
      <c r="J35" s="1"/>
      <c r="K35" s="1"/>
    </row>
    <row r="36" customFormat="false" ht="13.8" hidden="false" customHeight="false" outlineLevel="0" collapsed="false">
      <c r="B36" s="148" t="s">
        <v>190</v>
      </c>
      <c r="C36" s="158" t="n">
        <f aca="false">IF(Dades!$F$5="Palma",D36,E36)</f>
        <v>0.15854726385913</v>
      </c>
      <c r="D36" s="159" t="n">
        <f aca="false">91099.16/995013.51</f>
        <v>0.0915557015904236</v>
      </c>
      <c r="E36" s="159" t="n">
        <f aca="false">(315556.6-91099.16)/(2410726.62-995013.51)</f>
        <v>0.15854726385913</v>
      </c>
      <c r="H36" s="1"/>
      <c r="I36" s="1"/>
      <c r="J36" s="1"/>
      <c r="K36" s="1"/>
    </row>
    <row r="37" customFormat="false" ht="13.8" hidden="false" customHeight="false" outlineLevel="0" collapsed="false">
      <c r="B37" s="148" t="s">
        <v>191</v>
      </c>
      <c r="C37" s="158" t="n">
        <f aca="false">IF(Dades!$F$5="Palma",D37,E37)</f>
        <v>0.0804339658901654</v>
      </c>
      <c r="D37" s="159" t="n">
        <f aca="false">46216.29/995013.51</f>
        <v>0.0464479019988382</v>
      </c>
      <c r="E37" s="159" t="n">
        <f aca="false">(160087.71-46216.29)/(2410726.62-995013.51)</f>
        <v>0.0804339658901654</v>
      </c>
      <c r="H37" s="1"/>
      <c r="I37" s="1"/>
      <c r="J37" s="1"/>
      <c r="K37" s="1"/>
    </row>
    <row r="38" customFormat="false" ht="14.4" hidden="false" customHeight="false" outlineLevel="0" collapsed="false">
      <c r="B38" s="4" t="s">
        <v>211</v>
      </c>
      <c r="D38" s="161"/>
      <c r="E38" s="161"/>
      <c r="H38" s="1"/>
      <c r="I38" s="1"/>
      <c r="J38" s="1"/>
      <c r="K38" s="1"/>
    </row>
    <row r="39" customFormat="false" ht="14.4" hidden="false" customHeight="false" outlineLevel="0" collapsed="false">
      <c r="B39" s="84"/>
      <c r="C39" s="84"/>
      <c r="D39" s="161"/>
      <c r="E39" s="162"/>
      <c r="F39" s="1"/>
      <c r="G39" s="1"/>
      <c r="H39" s="1"/>
      <c r="I39" s="1"/>
      <c r="J39" s="1"/>
      <c r="K39" s="1"/>
    </row>
    <row r="40" customFormat="false" ht="14.4" hidden="false" customHeight="false" outlineLevel="0" collapsed="false">
      <c r="B40" s="137" t="s">
        <v>212</v>
      </c>
      <c r="C40" s="137"/>
      <c r="D40" s="163" t="s">
        <v>208</v>
      </c>
      <c r="E40" s="163" t="s">
        <v>209</v>
      </c>
      <c r="F40" s="1"/>
      <c r="G40" s="1"/>
      <c r="H40" s="1"/>
      <c r="I40" s="1"/>
      <c r="J40" s="1"/>
      <c r="K40" s="1"/>
    </row>
    <row r="41" customFormat="false" ht="13.8" hidden="false" customHeight="false" outlineLevel="0" collapsed="false">
      <c r="B41" s="148" t="s">
        <v>210</v>
      </c>
      <c r="C41" s="158" t="n">
        <f aca="false">IF(Dades!$F$5="Palma",D41,E41)</f>
        <v>0.659221345024035</v>
      </c>
      <c r="D41" s="159" t="n">
        <f aca="false">681794.49/1025896.27</f>
        <v>0.664584237156842</v>
      </c>
      <c r="E41" s="159" t="n">
        <f aca="false">1574716.28/2388751.96</f>
        <v>0.659221345024035</v>
      </c>
      <c r="F41" s="1"/>
      <c r="I41" s="1"/>
      <c r="J41" s="1"/>
      <c r="K41" s="1"/>
    </row>
    <row r="42" customFormat="false" ht="13.8" hidden="false" customHeight="false" outlineLevel="0" collapsed="false">
      <c r="B42" s="148" t="s">
        <v>189</v>
      </c>
      <c r="C42" s="158" t="n">
        <f aca="false">IF(Dades!$F$5="Palma",D42,E42)</f>
        <v>0.158538469603181</v>
      </c>
      <c r="D42" s="159" t="n">
        <f aca="false">234992.45/1025896.27</f>
        <v>0.229060633976182</v>
      </c>
      <c r="E42" s="159" t="n">
        <f aca="false">378709.08/2388751.96</f>
        <v>0.158538469603181</v>
      </c>
      <c r="F42" s="1"/>
      <c r="I42" s="1"/>
      <c r="J42" s="1"/>
      <c r="K42" s="1"/>
    </row>
    <row r="43" customFormat="false" ht="13.8" hidden="false" customHeight="false" outlineLevel="0" collapsed="false">
      <c r="B43" s="148" t="s">
        <v>190</v>
      </c>
      <c r="C43" s="158" t="n">
        <f aca="false">IF(Dades!$F$5="Palma",D43,E43)</f>
        <v>0.0865155082907813</v>
      </c>
      <c r="D43" s="159" t="n">
        <f aca="false">51797.85/1025896.27</f>
        <v>0.0504903385602523</v>
      </c>
      <c r="E43" s="159" t="n">
        <f aca="false">206664.09/2388751.96</f>
        <v>0.0865155082907813</v>
      </c>
      <c r="F43" s="1"/>
      <c r="I43" s="1"/>
      <c r="J43" s="1"/>
      <c r="K43" s="1"/>
    </row>
    <row r="44" customFormat="false" ht="13.95" hidden="false" customHeight="true" outlineLevel="0" collapsed="false">
      <c r="B44" s="148" t="s">
        <v>191</v>
      </c>
      <c r="C44" s="158" t="n">
        <f aca="false">IF(Dades!$F$5="Palma",D44,E44)</f>
        <v>0.0957246728957158</v>
      </c>
      <c r="D44" s="159" t="n">
        <f aca="false">57311.49/1025896.27</f>
        <v>0.0558648000542979</v>
      </c>
      <c r="E44" s="159" t="n">
        <f aca="false">228662.5/2388751.96</f>
        <v>0.0957246728957158</v>
      </c>
      <c r="I44" s="1"/>
      <c r="J44" s="1"/>
    </row>
    <row r="45" customFormat="false" ht="14.4" hidden="false" customHeight="false" outlineLevel="0" collapsed="false">
      <c r="B45" s="4" t="s">
        <v>211</v>
      </c>
      <c r="I45" s="1"/>
    </row>
    <row r="46" customFormat="false" ht="14.4" hidden="false" customHeight="false" outlineLevel="0" collapsed="false">
      <c r="B46" s="84"/>
      <c r="C46" s="84"/>
      <c r="E46" s="1"/>
      <c r="F46" s="1"/>
      <c r="G46" s="1"/>
      <c r="H46" s="1"/>
      <c r="I46" s="1"/>
    </row>
    <row r="47" customFormat="false" ht="16.5" hidden="false" customHeight="true" outlineLevel="0" collapsed="false">
      <c r="B47" s="84"/>
      <c r="C47" s="84"/>
      <c r="E47" s="1"/>
      <c r="F47" s="1"/>
      <c r="G47" s="1"/>
      <c r="H47" s="1"/>
      <c r="I47" s="1"/>
    </row>
    <row r="48" customFormat="false" ht="14.4" hidden="false" customHeight="false" outlineLevel="0" collapsed="false">
      <c r="B48" s="137" t="s">
        <v>213</v>
      </c>
      <c r="C48" s="137"/>
      <c r="E48" s="84"/>
      <c r="F48" s="1"/>
      <c r="G48" s="1"/>
      <c r="H48" s="1"/>
      <c r="I48" s="1"/>
    </row>
    <row r="49" customFormat="false" ht="13.8" hidden="false" customHeight="false" outlineLevel="0" collapsed="false">
      <c r="B49" s="148" t="s">
        <v>214</v>
      </c>
      <c r="C49" s="149" t="n">
        <v>0.619188164990526</v>
      </c>
      <c r="F49" s="1"/>
    </row>
    <row r="50" customFormat="false" ht="13.8" hidden="false" customHeight="true" outlineLevel="0" collapsed="false">
      <c r="B50" s="148" t="s">
        <v>215</v>
      </c>
      <c r="C50" s="149" t="n">
        <v>1.00386597938144</v>
      </c>
      <c r="E50" s="1"/>
      <c r="F50" s="1"/>
      <c r="H50" s="1"/>
    </row>
    <row r="51" customFormat="false" ht="13.95" hidden="false" customHeight="true" outlineLevel="0" collapsed="false">
      <c r="B51" s="148" t="s">
        <v>216</v>
      </c>
      <c r="C51" s="149" t="n">
        <v>1.72067166910688</v>
      </c>
      <c r="E51" s="1"/>
      <c r="F51" s="1"/>
      <c r="H51" s="1"/>
    </row>
    <row r="52" customFormat="false" ht="13.8" hidden="false" customHeight="false" outlineLevel="0" collapsed="false">
      <c r="B52" s="148" t="s">
        <v>217</v>
      </c>
      <c r="C52" s="149" t="n">
        <v>3.11788617886179</v>
      </c>
      <c r="E52" s="1"/>
      <c r="F52" s="1"/>
      <c r="H52" s="1"/>
    </row>
    <row r="53" customFormat="false" ht="14.4" hidden="false" customHeight="false" outlineLevel="0" collapsed="false">
      <c r="E53" s="1"/>
      <c r="F53" s="1"/>
      <c r="H53" s="1"/>
    </row>
    <row r="54" customFormat="false" ht="14.4" hidden="false" customHeight="false" outlineLevel="0" collapsed="false">
      <c r="B54" s="137" t="s">
        <v>218</v>
      </c>
      <c r="C54" s="137"/>
      <c r="E54" s="1"/>
      <c r="H54" s="1"/>
    </row>
    <row r="55" customFormat="false" ht="13.8" hidden="false" customHeight="false" outlineLevel="0" collapsed="false">
      <c r="B55" s="148" t="s">
        <v>214</v>
      </c>
      <c r="C55" s="149" t="n">
        <v>0.872128738902141</v>
      </c>
      <c r="E55" s="164"/>
      <c r="F55" s="1"/>
    </row>
    <row r="56" customFormat="false" ht="13.8" hidden="false" customHeight="false" outlineLevel="0" collapsed="false">
      <c r="B56" s="148" t="s">
        <v>215</v>
      </c>
      <c r="C56" s="149" t="n">
        <v>0.787275098476469</v>
      </c>
      <c r="E56" s="84"/>
      <c r="F56" s="1"/>
      <c r="G56" s="1"/>
      <c r="H56" s="1"/>
      <c r="I56" s="1"/>
    </row>
    <row r="57" customFormat="false" ht="13.8" hidden="false" customHeight="false" outlineLevel="0" collapsed="false">
      <c r="B57" s="148" t="s">
        <v>216</v>
      </c>
      <c r="C57" s="149" t="n">
        <v>1.21601142915414</v>
      </c>
      <c r="E57" s="84"/>
      <c r="F57" s="1"/>
      <c r="G57" s="1"/>
      <c r="H57" s="1"/>
      <c r="I57" s="1"/>
    </row>
    <row r="58" customFormat="false" ht="13.8" hidden="false" customHeight="false" outlineLevel="0" collapsed="false">
      <c r="B58" s="148" t="s">
        <v>217</v>
      </c>
      <c r="C58" s="149" t="n">
        <v>1.01978299956172</v>
      </c>
      <c r="F58" s="1"/>
      <c r="G58" s="1"/>
      <c r="H58" s="1"/>
      <c r="I58" s="1"/>
    </row>
    <row r="59" customFormat="false" ht="14.4" hidden="false" customHeight="false" outlineLevel="0" collapsed="false">
      <c r="B59" s="84"/>
      <c r="C59" s="84"/>
      <c r="F59" s="1"/>
      <c r="G59" s="1"/>
      <c r="H59" s="1"/>
      <c r="I59" s="1"/>
    </row>
    <row r="60" customFormat="false" ht="14.4" hidden="false" customHeight="false" outlineLevel="0" collapsed="false">
      <c r="B60" s="137" t="s">
        <v>219</v>
      </c>
      <c r="C60" s="137"/>
      <c r="F60" s="1"/>
      <c r="G60" s="1"/>
      <c r="H60" s="1"/>
      <c r="I60" s="1"/>
    </row>
    <row r="61" customFormat="false" ht="13.8" hidden="false" customHeight="false" outlineLevel="0" collapsed="false">
      <c r="B61" s="148" t="s">
        <v>214</v>
      </c>
      <c r="C61" s="165" t="s">
        <v>220</v>
      </c>
      <c r="F61" s="1"/>
      <c r="G61" s="1"/>
      <c r="H61" s="1"/>
      <c r="I61" s="1"/>
    </row>
    <row r="62" customFormat="false" ht="13.8" hidden="false" customHeight="false" outlineLevel="0" collapsed="false">
      <c r="B62" s="148" t="s">
        <v>215</v>
      </c>
      <c r="C62" s="165" t="n">
        <v>442.745</v>
      </c>
      <c r="F62" s="1"/>
      <c r="G62" s="1"/>
      <c r="H62" s="1"/>
      <c r="I62" s="1"/>
    </row>
    <row r="63" customFormat="false" ht="13.8" hidden="false" customHeight="false" outlineLevel="0" collapsed="false">
      <c r="B63" s="148" t="s">
        <v>216</v>
      </c>
      <c r="C63" s="165" t="n">
        <v>642.646</v>
      </c>
    </row>
    <row r="64" customFormat="false" ht="13.8" hidden="false" customHeight="false" outlineLevel="0" collapsed="false">
      <c r="B64" s="148" t="s">
        <v>217</v>
      </c>
      <c r="C64" s="165" t="n">
        <v>642.646</v>
      </c>
    </row>
    <row r="65" customFormat="false" ht="14.4" hidden="false" customHeight="false" outlineLevel="0" collapsed="false">
      <c r="B65" s="84"/>
      <c r="C65" s="84"/>
    </row>
    <row r="66" customFormat="false" ht="13.8" hidden="false" customHeight="false" outlineLevel="0" collapsed="false">
      <c r="B66" s="137" t="s">
        <v>221</v>
      </c>
      <c r="C66" s="137"/>
    </row>
    <row r="67" customFormat="false" ht="13.8" hidden="false" customHeight="false" outlineLevel="0" collapsed="false">
      <c r="B67" s="148" t="s">
        <v>214</v>
      </c>
      <c r="C67" s="165" t="n">
        <v>0.324</v>
      </c>
    </row>
    <row r="68" customFormat="false" ht="13.8" hidden="false" customHeight="false" outlineLevel="0" collapsed="false">
      <c r="B68" s="148" t="s">
        <v>215</v>
      </c>
      <c r="C68" s="165" t="n">
        <v>0.324</v>
      </c>
    </row>
    <row r="69" customFormat="false" ht="13.8" hidden="false" customHeight="false" outlineLevel="0" collapsed="false">
      <c r="B69" s="148" t="s">
        <v>216</v>
      </c>
      <c r="C69" s="165" t="n">
        <v>0.3</v>
      </c>
    </row>
    <row r="70" customFormat="false" ht="13.8" hidden="false" customHeight="false" outlineLevel="0" collapsed="false">
      <c r="B70" s="148" t="s">
        <v>217</v>
      </c>
      <c r="C70" s="165" t="n">
        <v>0.324</v>
      </c>
    </row>
    <row r="71" customFormat="false" ht="13.8" hidden="false" customHeight="false" outlineLevel="0" collapsed="false">
      <c r="B71" s="153" t="s">
        <v>222</v>
      </c>
      <c r="C71" s="142" t="e">
        <f aca="false">IF('Emissions CO2'!$F$6="Mallorca",C67,IF('Emissions CO2'!$F$6="Menorca",C68,IF('Emissions CO2'!$F$6="Eivissa",C69,C70)))</f>
        <v>#N/A</v>
      </c>
      <c r="D71" s="67"/>
      <c r="E71" s="166"/>
    </row>
    <row r="72" customFormat="false" ht="14.4" hidden="false" customHeight="false" outlineLevel="0" collapsed="false">
      <c r="B72" s="84"/>
      <c r="C72" s="67"/>
      <c r="D72" s="67"/>
      <c r="E72" s="166"/>
    </row>
    <row r="73" customFormat="false" ht="13.8" hidden="false" customHeight="false" outlineLevel="0" collapsed="false">
      <c r="B73" s="148" t="s">
        <v>223</v>
      </c>
      <c r="C73" s="143" t="e">
        <f aca="false">C71</f>
        <v>#N/A</v>
      </c>
      <c r="D73" s="143" t="e">
        <f aca="false">1-D74</f>
        <v>#N/A</v>
      </c>
      <c r="E73" s="166"/>
    </row>
    <row r="74" customFormat="false" ht="13.8" hidden="false" customHeight="false" outlineLevel="0" collapsed="false">
      <c r="B74" s="148" t="s">
        <v>224</v>
      </c>
      <c r="C74" s="149" t="n">
        <v>0</v>
      </c>
      <c r="D74" s="143" t="e">
        <f aca="false">VLOOKUP(B7,mix_electric,3,FALSE())</f>
        <v>#N/A</v>
      </c>
      <c r="E74" s="166"/>
    </row>
    <row r="75" customFormat="false" ht="13.8" hidden="false" customHeight="false" outlineLevel="0" collapsed="false">
      <c r="B75" s="148" t="s">
        <v>225</v>
      </c>
      <c r="C75" s="143" t="e">
        <f aca="false">C73*D73+C74*D74</f>
        <v>#N/A</v>
      </c>
      <c r="D75" s="143"/>
      <c r="E75" s="167"/>
    </row>
    <row r="76" customFormat="false" ht="14.4" hidden="false" customHeight="false" outlineLevel="0" collapsed="false">
      <c r="C76" s="166"/>
      <c r="D76" s="166"/>
      <c r="E76" s="166"/>
    </row>
    <row r="77" customFormat="false" ht="14.4" hidden="false" customHeight="false" outlineLevel="0" collapsed="false">
      <c r="C77" s="166"/>
      <c r="D77" s="166"/>
      <c r="E77" s="166"/>
    </row>
    <row r="78" customFormat="false" ht="14.4" hidden="false" customHeight="false" outlineLevel="0" collapsed="false">
      <c r="B78" s="151" t="s">
        <v>226</v>
      </c>
      <c r="C78" s="168"/>
      <c r="D78" s="166"/>
      <c r="E78" s="166"/>
    </row>
    <row r="79" customFormat="false" ht="14.4" hidden="false" customHeight="false" outlineLevel="0" collapsed="false">
      <c r="B79" s="150"/>
      <c r="C79" s="150"/>
      <c r="D79" s="166"/>
      <c r="E79" s="166"/>
    </row>
    <row r="80" customFormat="false" ht="14.4" hidden="false" customHeight="false" outlineLevel="0" collapsed="false">
      <c r="B80" s="169" t="s">
        <v>227</v>
      </c>
      <c r="C80" s="169" t="s">
        <v>228</v>
      </c>
      <c r="D80" s="166"/>
      <c r="E80" s="166"/>
    </row>
    <row r="81" customFormat="false" ht="13.8" hidden="false" customHeight="false" outlineLevel="0" collapsed="false">
      <c r="B81" s="148" t="s">
        <v>229</v>
      </c>
      <c r="C81" s="165" t="n">
        <v>65</v>
      </c>
      <c r="D81" s="166"/>
      <c r="E81" s="167"/>
    </row>
    <row r="82" customFormat="false" ht="13.8" hidden="false" customHeight="false" outlineLevel="0" collapsed="false">
      <c r="B82" s="148" t="s">
        <v>230</v>
      </c>
      <c r="C82" s="165" t="n">
        <v>441</v>
      </c>
      <c r="D82" s="166"/>
      <c r="E82" s="167"/>
    </row>
    <row r="85" customFormat="false" ht="14.4" hidden="false" customHeight="false" outlineLevel="0" collapsed="false">
      <c r="B85" s="170" t="s">
        <v>18</v>
      </c>
      <c r="C85" s="84"/>
    </row>
    <row r="86" customFormat="false" ht="14.4" hidden="false" customHeight="false" outlineLevel="0" collapsed="false">
      <c r="B86" s="84"/>
      <c r="C86" s="84"/>
    </row>
    <row r="87" customFormat="false" ht="14.4" hidden="false" customHeight="false" outlineLevel="0" collapsed="false">
      <c r="B87" s="171" t="s">
        <v>108</v>
      </c>
      <c r="C87" s="169" t="s">
        <v>231</v>
      </c>
      <c r="D87" s="169" t="s">
        <v>228</v>
      </c>
      <c r="E87" s="67"/>
      <c r="F87" s="166"/>
    </row>
    <row r="88" customFormat="false" ht="14.4" hidden="false" customHeight="false" outlineLevel="0" collapsed="false">
      <c r="B88" s="148" t="s">
        <v>232</v>
      </c>
      <c r="C88" s="143" t="n">
        <f aca="false">C16</f>
        <v>73.5287485907554</v>
      </c>
      <c r="D88" s="143" t="e">
        <f aca="false">C7*C34+C10*C35+C11*C36+C12*C37</f>
        <v>#N/A</v>
      </c>
      <c r="E88" s="67"/>
      <c r="F88" s="166"/>
    </row>
    <row r="89" customFormat="false" ht="14.4" hidden="false" customHeight="false" outlineLevel="0" collapsed="false">
      <c r="B89" s="148" t="s">
        <v>233</v>
      </c>
      <c r="C89" s="143" t="n">
        <f aca="false">D16</f>
        <v>29.4114994363021</v>
      </c>
      <c r="D89" s="143" t="e">
        <f aca="false">C7*C34+C10*C35+C11*C36+C12*C37</f>
        <v>#N/A</v>
      </c>
      <c r="E89" s="67"/>
      <c r="F89" s="166"/>
    </row>
    <row r="90" customFormat="false" ht="14.4" hidden="false" customHeight="false" outlineLevel="0" collapsed="false">
      <c r="C90" s="166"/>
      <c r="D90" s="166"/>
      <c r="E90" s="166"/>
      <c r="F90" s="166"/>
    </row>
    <row r="91" customFormat="false" ht="14.4" hidden="false" customHeight="false" outlineLevel="0" collapsed="false">
      <c r="B91" s="171" t="s">
        <v>113</v>
      </c>
      <c r="C91" s="169" t="s">
        <v>234</v>
      </c>
      <c r="D91" s="169" t="s">
        <v>235</v>
      </c>
      <c r="E91" s="169" t="s">
        <v>228</v>
      </c>
      <c r="F91" s="166"/>
      <c r="G91" s="25"/>
      <c r="H91" s="25"/>
    </row>
    <row r="92" customFormat="false" ht="13.8" hidden="false" customHeight="false" outlineLevel="0" collapsed="false">
      <c r="B92" s="148" t="s">
        <v>115</v>
      </c>
      <c r="C92" s="172" t="n">
        <v>0.28</v>
      </c>
      <c r="D92" s="143" t="e">
        <f aca="false">VLOOKUP('Emissions CO2'!F6,abastiment,2,FALSE())</f>
        <v>#N/A</v>
      </c>
      <c r="E92" s="143" t="e">
        <f aca="false">C7</f>
        <v>#N/A</v>
      </c>
      <c r="F92" s="166"/>
      <c r="G92" s="25"/>
      <c r="H92" s="25"/>
    </row>
    <row r="93" customFormat="false" ht="14.4" hidden="false" customHeight="false" outlineLevel="0" collapsed="false">
      <c r="B93" s="148" t="s">
        <v>116</v>
      </c>
      <c r="C93" s="173" t="n">
        <f aca="false">C92</f>
        <v>0.28</v>
      </c>
      <c r="D93" s="143" t="e">
        <f aca="false">VLOOKUP('Emissions CO2'!F6,sanejament,2,FALSE())</f>
        <v>#N/A</v>
      </c>
      <c r="E93" s="143" t="e">
        <f aca="false">C7</f>
        <v>#N/A</v>
      </c>
      <c r="F93" s="166"/>
      <c r="G93" s="25"/>
      <c r="H93" s="25"/>
    </row>
    <row r="94" customFormat="false" ht="14.4" hidden="false" customHeight="false" outlineLevel="0" collapsed="false">
      <c r="C94" s="166"/>
      <c r="D94" s="166"/>
      <c r="E94" s="166"/>
      <c r="F94" s="166"/>
    </row>
    <row r="95" customFormat="false" ht="14.4" hidden="false" customHeight="false" outlineLevel="0" collapsed="false">
      <c r="B95" s="169" t="s">
        <v>118</v>
      </c>
      <c r="C95" s="169"/>
      <c r="D95" s="166"/>
      <c r="E95" s="166"/>
      <c r="F95" s="166"/>
    </row>
    <row r="96" customFormat="false" ht="14.4" hidden="false" customHeight="false" outlineLevel="0" collapsed="false">
      <c r="B96" s="148" t="s">
        <v>236</v>
      </c>
      <c r="C96" s="143" t="e">
        <f aca="false">IF('Emissions CO2'!$F$6="Mallorca",C61,IF('Emissions CO2'!$F$6="Menorca",C62,IF('Emissions CO2'!$F$6="Eivissa",C63,C64)))</f>
        <v>#N/A</v>
      </c>
      <c r="D96" s="67"/>
      <c r="E96" s="166"/>
      <c r="F96" s="166"/>
    </row>
    <row r="97" customFormat="false" ht="14.4" hidden="false" customHeight="false" outlineLevel="0" collapsed="false">
      <c r="B97" s="148" t="s">
        <v>237</v>
      </c>
      <c r="C97" s="143" t="e">
        <f aca="false">C75</f>
        <v>#N/A</v>
      </c>
      <c r="D97" s="166"/>
      <c r="E97" s="166"/>
      <c r="F97" s="166"/>
    </row>
    <row r="98" customFormat="false" ht="14.4" hidden="false" customHeight="false" outlineLevel="0" collapsed="false">
      <c r="C98" s="166"/>
      <c r="D98" s="166"/>
      <c r="E98" s="166"/>
      <c r="F98" s="166"/>
    </row>
    <row r="99" customFormat="false" ht="14.4" hidden="false" customHeight="false" outlineLevel="0" collapsed="false">
      <c r="C99" s="166"/>
      <c r="D99" s="166"/>
      <c r="E99" s="166"/>
      <c r="F99" s="166"/>
    </row>
    <row r="100" customFormat="false" ht="14.4" hidden="false" customHeight="false" outlineLevel="0" collapsed="false">
      <c r="B100" s="170" t="s">
        <v>28</v>
      </c>
      <c r="C100" s="67"/>
      <c r="D100" s="166"/>
      <c r="E100" s="166"/>
      <c r="F100" s="166"/>
    </row>
    <row r="101" customFormat="false" ht="14.4" hidden="false" customHeight="false" outlineLevel="0" collapsed="false">
      <c r="B101" s="84"/>
      <c r="C101" s="67"/>
      <c r="D101" s="166"/>
      <c r="E101" s="166"/>
      <c r="F101" s="166"/>
    </row>
    <row r="102" customFormat="false" ht="14.4" hidden="false" customHeight="false" outlineLevel="0" collapsed="false">
      <c r="B102" s="171" t="s">
        <v>108</v>
      </c>
      <c r="C102" s="169" t="s">
        <v>231</v>
      </c>
      <c r="D102" s="169" t="s">
        <v>228</v>
      </c>
      <c r="E102" s="166"/>
      <c r="F102" s="166"/>
    </row>
    <row r="103" customFormat="false" ht="14.4" hidden="false" customHeight="false" outlineLevel="0" collapsed="false">
      <c r="B103" s="148" t="s">
        <v>232</v>
      </c>
      <c r="C103" s="143" t="n">
        <f aca="false">C17</f>
        <v>92.8</v>
      </c>
      <c r="D103" s="143" t="e">
        <f aca="false">C7</f>
        <v>#N/A</v>
      </c>
      <c r="E103" s="67"/>
      <c r="F103" s="166"/>
    </row>
    <row r="104" customFormat="false" ht="14.4" hidden="false" customHeight="false" outlineLevel="0" collapsed="false">
      <c r="B104" s="148" t="s">
        <v>233</v>
      </c>
      <c r="C104" s="143" t="n">
        <f aca="false">D17</f>
        <v>37.12</v>
      </c>
      <c r="D104" s="143" t="e">
        <f aca="false">C7</f>
        <v>#N/A</v>
      </c>
      <c r="E104" s="67"/>
      <c r="F104" s="166"/>
    </row>
    <row r="105" customFormat="false" ht="14.4" hidden="false" customHeight="false" outlineLevel="0" collapsed="false">
      <c r="C105" s="166"/>
      <c r="D105" s="166"/>
      <c r="E105" s="166"/>
      <c r="F105" s="166"/>
    </row>
    <row r="106" customFormat="false" ht="14.4" hidden="false" customHeight="false" outlineLevel="0" collapsed="false">
      <c r="B106" s="171" t="s">
        <v>113</v>
      </c>
      <c r="C106" s="169" t="s">
        <v>238</v>
      </c>
      <c r="D106" s="169" t="s">
        <v>235</v>
      </c>
      <c r="E106" s="169" t="s">
        <v>228</v>
      </c>
      <c r="F106" s="166"/>
    </row>
    <row r="107" customFormat="false" ht="13.8" hidden="false" customHeight="false" outlineLevel="0" collapsed="false">
      <c r="B107" s="148" t="s">
        <v>115</v>
      </c>
      <c r="C107" s="172" t="n">
        <f aca="false">3153600/10^7</f>
        <v>0.31536</v>
      </c>
      <c r="D107" s="143" t="e">
        <f aca="false">VLOOKUP('Emissions CO2'!F6,abastiment,2,FALSE())</f>
        <v>#N/A</v>
      </c>
      <c r="E107" s="143" t="e">
        <f aca="false">C7</f>
        <v>#N/A</v>
      </c>
      <c r="F107" s="166"/>
    </row>
    <row r="108" customFormat="false" ht="14.4" hidden="false" customHeight="false" outlineLevel="0" collapsed="false">
      <c r="B108" s="148" t="s">
        <v>116</v>
      </c>
      <c r="C108" s="173" t="n">
        <f aca="false">C107</f>
        <v>0.31536</v>
      </c>
      <c r="D108" s="143" t="e">
        <f aca="false">VLOOKUP('Emissions CO2'!F6,sanejament,2,FALSE())</f>
        <v>#N/A</v>
      </c>
      <c r="E108" s="143" t="e">
        <f aca="false">C7</f>
        <v>#N/A</v>
      </c>
      <c r="F108" s="166"/>
    </row>
    <row r="109" customFormat="false" ht="14.4" hidden="false" customHeight="false" outlineLevel="0" collapsed="false">
      <c r="C109" s="166"/>
      <c r="D109" s="166"/>
      <c r="E109" s="166"/>
      <c r="F109" s="166"/>
    </row>
    <row r="110" customFormat="false" ht="14.4" hidden="false" customHeight="false" outlineLevel="0" collapsed="false">
      <c r="B110" s="174" t="s">
        <v>118</v>
      </c>
      <c r="C110" s="174"/>
      <c r="D110" s="166"/>
      <c r="E110" s="166"/>
      <c r="F110" s="166"/>
    </row>
    <row r="111" customFormat="false" ht="13.8" hidden="false" customHeight="false" outlineLevel="0" collapsed="false">
      <c r="B111" s="148" t="s">
        <v>239</v>
      </c>
      <c r="C111" s="149" t="n">
        <v>0.74</v>
      </c>
      <c r="D111" s="67"/>
      <c r="E111" s="166"/>
      <c r="F111" s="166"/>
    </row>
    <row r="112" customFormat="false" ht="14.4" hidden="false" customHeight="false" outlineLevel="0" collapsed="false">
      <c r="B112" s="148" t="s">
        <v>237</v>
      </c>
      <c r="C112" s="143" t="e">
        <f aca="false">C75</f>
        <v>#N/A</v>
      </c>
      <c r="D112" s="166"/>
      <c r="E112" s="166"/>
      <c r="F112" s="166"/>
    </row>
    <row r="115" customFormat="false" ht="14.4" hidden="false" customHeight="false" outlineLevel="0" collapsed="false">
      <c r="B115" s="170" t="s">
        <v>33</v>
      </c>
      <c r="C115" s="84"/>
    </row>
    <row r="116" customFormat="false" ht="14.4" hidden="false" customHeight="false" outlineLevel="0" collapsed="false">
      <c r="B116" s="84"/>
      <c r="C116" s="84"/>
    </row>
    <row r="117" customFormat="false" ht="14.4" hidden="false" customHeight="false" outlineLevel="0" collapsed="false">
      <c r="B117" s="171" t="s">
        <v>108</v>
      </c>
      <c r="C117" s="169" t="s">
        <v>231</v>
      </c>
      <c r="D117" s="169" t="s">
        <v>240</v>
      </c>
      <c r="E117" s="166"/>
    </row>
    <row r="118" customFormat="false" ht="14.4" hidden="false" customHeight="false" outlineLevel="0" collapsed="false">
      <c r="B118" s="148" t="s">
        <v>232</v>
      </c>
      <c r="C118" s="143" t="n">
        <f aca="false">C18</f>
        <v>100</v>
      </c>
      <c r="D118" s="143" t="e">
        <f aca="false">C7</f>
        <v>#N/A</v>
      </c>
      <c r="E118" s="67"/>
    </row>
    <row r="119" customFormat="false" ht="14.4" hidden="false" customHeight="false" outlineLevel="0" collapsed="false">
      <c r="B119" s="148" t="s">
        <v>233</v>
      </c>
      <c r="C119" s="143" t="n">
        <f aca="false">D18</f>
        <v>100</v>
      </c>
      <c r="D119" s="143" t="e">
        <f aca="false">C7</f>
        <v>#N/A</v>
      </c>
      <c r="E119" s="67"/>
    </row>
    <row r="120" customFormat="false" ht="14.4" hidden="false" customHeight="false" outlineLevel="0" collapsed="false">
      <c r="C120" s="166"/>
      <c r="D120" s="166"/>
      <c r="E120" s="166"/>
    </row>
    <row r="121" customFormat="false" ht="14.4" hidden="false" customHeight="false" outlineLevel="0" collapsed="false">
      <c r="B121" s="171" t="s">
        <v>113</v>
      </c>
      <c r="C121" s="169" t="s">
        <v>238</v>
      </c>
      <c r="D121" s="169" t="s">
        <v>235</v>
      </c>
      <c r="E121" s="169" t="s">
        <v>228</v>
      </c>
      <c r="F121" s="84"/>
    </row>
    <row r="122" customFormat="false" ht="13.8" hidden="false" customHeight="false" outlineLevel="0" collapsed="false">
      <c r="B122" s="148" t="s">
        <v>115</v>
      </c>
      <c r="C122" s="172" t="n">
        <f aca="false">9460800/10^7</f>
        <v>0.94608</v>
      </c>
      <c r="D122" s="143" t="e">
        <f aca="false">VLOOKUP('Emissions CO2'!F6,abastiment,2,FALSE())</f>
        <v>#N/A</v>
      </c>
      <c r="E122" s="143" t="e">
        <f aca="false">C7</f>
        <v>#N/A</v>
      </c>
    </row>
    <row r="123" customFormat="false" ht="14.4" hidden="false" customHeight="false" outlineLevel="0" collapsed="false">
      <c r="B123" s="148" t="s">
        <v>116</v>
      </c>
      <c r="C123" s="173" t="n">
        <f aca="false">C122</f>
        <v>0.94608</v>
      </c>
      <c r="D123" s="143" t="e">
        <f aca="false">VLOOKUP('Emissions CO2'!F6,sanejament,2,FALSE())</f>
        <v>#N/A</v>
      </c>
      <c r="E123" s="143" t="e">
        <f aca="false">C7</f>
        <v>#N/A</v>
      </c>
    </row>
    <row r="124" customFormat="false" ht="14.4" hidden="false" customHeight="false" outlineLevel="0" collapsed="false">
      <c r="C124" s="166"/>
      <c r="D124" s="166"/>
      <c r="E124" s="166"/>
    </row>
    <row r="125" customFormat="false" ht="14.4" hidden="false" customHeight="false" outlineLevel="0" collapsed="false">
      <c r="B125" s="174" t="s">
        <v>118</v>
      </c>
      <c r="C125" s="174"/>
      <c r="D125" s="166"/>
      <c r="E125" s="166"/>
    </row>
    <row r="126" customFormat="false" ht="13.8" hidden="false" customHeight="false" outlineLevel="0" collapsed="false">
      <c r="B126" s="148" t="s">
        <v>239</v>
      </c>
      <c r="C126" s="149" t="n">
        <v>23.034</v>
      </c>
      <c r="D126" s="67"/>
      <c r="E126" s="16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</row>
    <row r="127" customFormat="false" ht="14.4" hidden="false" customHeight="false" outlineLevel="0" collapsed="false">
      <c r="B127" s="148" t="s">
        <v>237</v>
      </c>
      <c r="C127" s="143" t="e">
        <f aca="false">C75</f>
        <v>#N/A</v>
      </c>
      <c r="D127" s="166"/>
      <c r="E127" s="166"/>
    </row>
    <row r="128" customFormat="false" ht="14.4" hidden="false" customHeight="false" outlineLevel="0" collapsed="false">
      <c r="C128" s="166"/>
      <c r="D128" s="166"/>
      <c r="E128" s="166"/>
    </row>
    <row r="129" customFormat="false" ht="14.4" hidden="false" customHeight="false" outlineLevel="0" collapsed="false">
      <c r="C129" s="166"/>
      <c r="D129" s="166"/>
      <c r="E129" s="166"/>
    </row>
    <row r="130" customFormat="false" ht="14.4" hidden="false" customHeight="false" outlineLevel="0" collapsed="false">
      <c r="B130" s="170" t="s">
        <v>38</v>
      </c>
      <c r="C130" s="67"/>
      <c r="D130" s="166"/>
      <c r="E130" s="166"/>
    </row>
    <row r="131" customFormat="false" ht="14.4" hidden="false" customHeight="false" outlineLevel="0" collapsed="false">
      <c r="B131" s="84"/>
      <c r="C131" s="67"/>
      <c r="D131" s="166"/>
      <c r="E131" s="166"/>
    </row>
    <row r="132" customFormat="false" ht="14.4" hidden="false" customHeight="false" outlineLevel="0" collapsed="false">
      <c r="B132" s="171" t="s">
        <v>108</v>
      </c>
      <c r="C132" s="169" t="s">
        <v>231</v>
      </c>
      <c r="D132" s="169" t="s">
        <v>240</v>
      </c>
      <c r="E132" s="166"/>
    </row>
    <row r="133" customFormat="false" ht="14.4" hidden="false" customHeight="false" outlineLevel="0" collapsed="false">
      <c r="B133" s="148" t="s">
        <v>232</v>
      </c>
      <c r="C133" s="143" t="n">
        <f aca="false">C19</f>
        <v>176.45</v>
      </c>
      <c r="D133" s="143" t="e">
        <f aca="false">C7*C41+C10*C42+C11*C43+C12*C44</f>
        <v>#N/A</v>
      </c>
      <c r="E133" s="67"/>
    </row>
    <row r="134" customFormat="false" ht="14.4" hidden="false" customHeight="false" outlineLevel="0" collapsed="false">
      <c r="B134" s="148" t="s">
        <v>233</v>
      </c>
      <c r="C134" s="143" t="n">
        <f aca="false">D19</f>
        <v>70.58</v>
      </c>
      <c r="D134" s="143" t="e">
        <f aca="false">C7*C41+C10*C42+C11*C43+C12*C44</f>
        <v>#N/A</v>
      </c>
      <c r="E134" s="67"/>
    </row>
    <row r="135" customFormat="false" ht="14.4" hidden="false" customHeight="false" outlineLevel="0" collapsed="false">
      <c r="B135" s="84"/>
      <c r="C135" s="67"/>
      <c r="D135" s="68"/>
      <c r="E135" s="67"/>
    </row>
    <row r="136" customFormat="false" ht="14.4" hidden="false" customHeight="false" outlineLevel="0" collapsed="false">
      <c r="B136" s="171" t="s">
        <v>113</v>
      </c>
      <c r="C136" s="169" t="s">
        <v>238</v>
      </c>
      <c r="D136" s="169" t="s">
        <v>235</v>
      </c>
      <c r="E136" s="169" t="s">
        <v>228</v>
      </c>
    </row>
    <row r="137" customFormat="false" ht="13.8" hidden="false" customHeight="false" outlineLevel="0" collapsed="false">
      <c r="B137" s="148" t="s">
        <v>115</v>
      </c>
      <c r="C137" s="172" t="n">
        <f aca="false">C107</f>
        <v>0.31536</v>
      </c>
      <c r="D137" s="143" t="e">
        <f aca="false">VLOOKUP('Emissions CO2'!F6,abastiment,2,FALSE())</f>
        <v>#N/A</v>
      </c>
      <c r="E137" s="143" t="e">
        <f aca="false">C7</f>
        <v>#N/A</v>
      </c>
    </row>
    <row r="138" customFormat="false" ht="14.4" hidden="false" customHeight="false" outlineLevel="0" collapsed="false">
      <c r="B138" s="148" t="s">
        <v>116</v>
      </c>
      <c r="C138" s="173" t="n">
        <f aca="false">C137</f>
        <v>0.31536</v>
      </c>
      <c r="D138" s="143" t="e">
        <f aca="false">VLOOKUP('Emissions CO2'!F6,sanejament,2,FALSE())</f>
        <v>#N/A</v>
      </c>
      <c r="E138" s="143" t="e">
        <f aca="false">C7</f>
        <v>#N/A</v>
      </c>
    </row>
    <row r="139" customFormat="false" ht="14.4" hidden="false" customHeight="false" outlineLevel="0" collapsed="false">
      <c r="C139" s="166"/>
      <c r="D139" s="166"/>
      <c r="E139" s="166"/>
    </row>
    <row r="140" customFormat="false" ht="14.4" hidden="false" customHeight="false" outlineLevel="0" collapsed="false">
      <c r="B140" s="174" t="s">
        <v>118</v>
      </c>
      <c r="C140" s="174"/>
      <c r="D140" s="166"/>
      <c r="E140" s="166"/>
    </row>
    <row r="141" customFormat="false" ht="13.8" hidden="false" customHeight="false" outlineLevel="0" collapsed="false">
      <c r="B141" s="148" t="s">
        <v>239</v>
      </c>
      <c r="C141" s="149" t="n">
        <v>21.48</v>
      </c>
      <c r="D141" s="67"/>
      <c r="E141" s="166"/>
    </row>
    <row r="142" customFormat="false" ht="14.4" hidden="false" customHeight="false" outlineLevel="0" collapsed="false">
      <c r="B142" s="148" t="s">
        <v>237</v>
      </c>
      <c r="C142" s="143" t="e">
        <f aca="false">C75</f>
        <v>#N/A</v>
      </c>
      <c r="D142" s="166"/>
      <c r="E142" s="166"/>
    </row>
    <row r="143" customFormat="false" ht="14.4" hidden="false" customHeight="false" outlineLevel="0" collapsed="false">
      <c r="B143" s="84"/>
      <c r="C143" s="68"/>
    </row>
    <row r="144" customFormat="false" ht="14.4" hidden="false" customHeight="false" outlineLevel="0" collapsed="false">
      <c r="B144" s="84"/>
      <c r="C144" s="68"/>
    </row>
    <row r="145" customFormat="false" ht="14.4" hidden="false" customHeight="false" outlineLevel="0" collapsed="false">
      <c r="B145" s="170" t="s">
        <v>241</v>
      </c>
      <c r="C145" s="68"/>
    </row>
    <row r="147" customFormat="false" ht="14.4" hidden="false" customHeight="false" outlineLevel="0" collapsed="false">
      <c r="B147" s="171" t="s">
        <v>242</v>
      </c>
      <c r="C147" s="169" t="s">
        <v>231</v>
      </c>
    </row>
    <row r="148" customFormat="false" ht="13.8" hidden="false" customHeight="false" outlineLevel="0" collapsed="false">
      <c r="B148" s="33" t="s">
        <v>243</v>
      </c>
      <c r="C148" s="165" t="n">
        <v>1.67</v>
      </c>
    </row>
    <row r="149" customFormat="false" ht="14.4" hidden="false" customHeight="false" outlineLevel="0" collapsed="false">
      <c r="B149" s="84"/>
      <c r="C149" s="68"/>
    </row>
    <row r="150" customFormat="false" ht="14.4" hidden="false" customHeight="false" outlineLevel="0" collapsed="false">
      <c r="B150" s="84"/>
      <c r="C150" s="68"/>
    </row>
    <row r="151" customFormat="false" ht="14.4" hidden="false" customHeight="false" outlineLevel="0" collapsed="false">
      <c r="B151" s="170" t="s">
        <v>244</v>
      </c>
      <c r="C151" s="68"/>
    </row>
    <row r="153" customFormat="false" ht="14.4" hidden="false" customHeight="false" outlineLevel="0" collapsed="false">
      <c r="B153" s="171" t="s">
        <v>245</v>
      </c>
      <c r="C153" s="171" t="s">
        <v>246</v>
      </c>
      <c r="D153" s="85"/>
      <c r="E153" s="84"/>
    </row>
    <row r="154" customFormat="false" ht="13.8" hidden="false" customHeight="false" outlineLevel="0" collapsed="false">
      <c r="B154" s="33" t="s">
        <v>56</v>
      </c>
      <c r="C154" s="165" t="n">
        <v>5.94</v>
      </c>
      <c r="D154" s="85"/>
      <c r="E154" s="84"/>
      <c r="F154" s="73"/>
      <c r="G154" s="2"/>
    </row>
    <row r="155" customFormat="false" ht="14.4" hidden="false" customHeight="false" outlineLevel="0" collapsed="false">
      <c r="B155" s="33" t="s">
        <v>57</v>
      </c>
      <c r="C155" s="142" t="n">
        <f aca="false">C156-C154</f>
        <v>2.88</v>
      </c>
      <c r="D155" s="85"/>
      <c r="E155" s="84"/>
      <c r="F155" s="73"/>
      <c r="G155" s="2"/>
    </row>
    <row r="156" customFormat="false" ht="13.8" hidden="false" customHeight="false" outlineLevel="0" collapsed="false">
      <c r="B156" s="33" t="s">
        <v>58</v>
      </c>
      <c r="C156" s="165" t="n">
        <v>8.82</v>
      </c>
      <c r="D156" s="175"/>
      <c r="E156" s="84"/>
      <c r="F156" s="9"/>
      <c r="G156" s="19"/>
    </row>
    <row r="157" customFormat="false" ht="14.4" hidden="false" customHeight="false" outlineLevel="0" collapsed="false">
      <c r="B157" s="84"/>
      <c r="C157" s="84"/>
      <c r="D157" s="85"/>
      <c r="E157" s="84"/>
      <c r="F157" s="9"/>
      <c r="G157" s="19"/>
    </row>
    <row r="158" customFormat="false" ht="14.4" hidden="false" customHeight="false" outlineLevel="0" collapsed="false">
      <c r="B158" s="171" t="s">
        <v>247</v>
      </c>
      <c r="C158" s="171" t="s">
        <v>246</v>
      </c>
      <c r="D158" s="85"/>
      <c r="E158" s="84"/>
      <c r="F158" s="42"/>
      <c r="G158" s="2"/>
    </row>
    <row r="159" customFormat="false" ht="14.4" hidden="false" customHeight="false" outlineLevel="0" collapsed="false">
      <c r="B159" s="148" t="s">
        <v>248</v>
      </c>
      <c r="C159" s="142" t="n">
        <f aca="false">C156</f>
        <v>8.82</v>
      </c>
      <c r="D159" s="84"/>
      <c r="E159" s="84"/>
      <c r="F159" s="73"/>
      <c r="G159" s="73"/>
    </row>
    <row r="160" customFormat="false" ht="14.4" hidden="false" customHeight="false" outlineLevel="0" collapsed="false">
      <c r="B160" s="136"/>
      <c r="C160" s="136"/>
      <c r="D160" s="136"/>
      <c r="E160" s="136"/>
      <c r="F160" s="73"/>
      <c r="G160" s="73"/>
    </row>
    <row r="161" customFormat="false" ht="14.4" hidden="false" customHeight="false" outlineLevel="0" collapsed="false">
      <c r="B161" s="84"/>
      <c r="C161" s="176"/>
      <c r="D161" s="85"/>
      <c r="E161" s="85"/>
      <c r="F161" s="9"/>
      <c r="G161" s="9"/>
    </row>
    <row r="162" customFormat="false" ht="14.4" hidden="false" customHeight="false" outlineLevel="0" collapsed="false">
      <c r="B162" s="84"/>
      <c r="C162" s="176"/>
      <c r="D162" s="85"/>
      <c r="E162" s="85"/>
    </row>
    <row r="164" customFormat="false" ht="14.4" hidden="false" customHeight="false" outlineLevel="0" collapsed="false">
      <c r="B164" s="150"/>
      <c r="C164" s="150"/>
    </row>
    <row r="165" customFormat="false" ht="14.4" hidden="false" customHeight="false" outlineLevel="0" collapsed="false">
      <c r="B165" s="84"/>
      <c r="C165" s="85"/>
      <c r="D165" s="84"/>
    </row>
    <row r="166" customFormat="false" ht="14.4" hidden="false" customHeight="false" outlineLevel="0" collapsed="false">
      <c r="B166" s="84"/>
      <c r="C166" s="85"/>
    </row>
  </sheetData>
  <sheetProtection sheet="true" password="e929" objects="true" scenarios="true"/>
  <mergeCells count="15">
    <mergeCell ref="B2:D2"/>
    <mergeCell ref="B5:C5"/>
    <mergeCell ref="B9:C9"/>
    <mergeCell ref="F15:F18"/>
    <mergeCell ref="B33:C33"/>
    <mergeCell ref="B40:C40"/>
    <mergeCell ref="B48:C48"/>
    <mergeCell ref="B54:C54"/>
    <mergeCell ref="B60:C60"/>
    <mergeCell ref="B66:C66"/>
    <mergeCell ref="C75:D75"/>
    <mergeCell ref="B95:C95"/>
    <mergeCell ref="B110:C110"/>
    <mergeCell ref="B125:C125"/>
    <mergeCell ref="B140:C14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N6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3.45"/>
    <col collapsed="false" customWidth="true" hidden="false" outlineLevel="0" max="2" min="2" style="177" width="4.44"/>
    <col collapsed="false" customWidth="true" hidden="false" outlineLevel="0" max="3" min="3" style="1" width="16.89"/>
    <col collapsed="false" customWidth="true" hidden="false" outlineLevel="0" max="4" min="4" style="1" width="19.77"/>
    <col collapsed="false" customWidth="true" hidden="false" outlineLevel="0" max="5" min="5" style="1" width="22.11"/>
    <col collapsed="false" customWidth="true" hidden="false" outlineLevel="0" max="6" min="6" style="1" width="19.45"/>
    <col collapsed="false" customWidth="true" hidden="false" outlineLevel="0" max="7" min="7" style="1" width="17.56"/>
    <col collapsed="false" customWidth="true" hidden="false" outlineLevel="0" max="8" min="8" style="1" width="14.88"/>
    <col collapsed="false" customWidth="true" hidden="false" outlineLevel="0" max="9" min="9" style="1" width="16"/>
    <col collapsed="false" customWidth="true" hidden="false" outlineLevel="0" max="10" min="10" style="1" width="16.33"/>
    <col collapsed="false" customWidth="true" hidden="false" outlineLevel="0" max="11" min="11" style="1" width="14.35"/>
    <col collapsed="false" customWidth="true" hidden="false" outlineLevel="0" max="12" min="12" style="1" width="13.02"/>
    <col collapsed="false" customWidth="true" hidden="false" outlineLevel="0" max="13" min="13" style="1" width="13.33"/>
    <col collapsed="false" customWidth="true" hidden="false" outlineLevel="0" max="14" min="14" style="1" width="16"/>
    <col collapsed="false" customWidth="true" hidden="false" outlineLevel="0" max="15" min="15" style="1" width="14.88"/>
    <col collapsed="false" customWidth="true" hidden="false" outlineLevel="0" max="16" min="16" style="1" width="13.55"/>
    <col collapsed="false" customWidth="true" hidden="false" outlineLevel="0" max="17" min="17" style="1" width="12.89"/>
    <col collapsed="false" customWidth="true" hidden="false" outlineLevel="0" max="19" min="18" style="1" width="12.44"/>
    <col collapsed="false" customWidth="true" hidden="false" outlineLevel="0" max="20" min="20" style="1" width="14.66"/>
    <col collapsed="false" customWidth="true" hidden="false" outlineLevel="0" max="21" min="21" style="1" width="13.1"/>
    <col collapsed="false" customWidth="true" hidden="false" outlineLevel="0" max="22" min="22" style="1" width="12.33"/>
    <col collapsed="false" customWidth="true" hidden="false" outlineLevel="0" max="23" min="23" style="1" width="15.22"/>
    <col collapsed="false" customWidth="true" hidden="false" outlineLevel="0" max="24" min="24" style="1" width="15.34"/>
    <col collapsed="false" customWidth="true" hidden="false" outlineLevel="0" max="25" min="25" style="1" width="13.33"/>
    <col collapsed="false" customWidth="true" hidden="false" outlineLevel="0" max="26" min="26" style="1" width="12.56"/>
    <col collapsed="false" customWidth="true" hidden="false" outlineLevel="0" max="27" min="27" style="1" width="10.99"/>
    <col collapsed="false" customWidth="true" hidden="false" outlineLevel="0" max="31" min="28" style="1" width="8.67"/>
    <col collapsed="false" customWidth="true" hidden="false" outlineLevel="0" max="32" min="32" style="1" width="14.88"/>
    <col collapsed="false" customWidth="true" hidden="false" outlineLevel="0" max="33" min="33" style="1" width="14.01"/>
    <col collapsed="false" customWidth="true" hidden="false" outlineLevel="0" max="34" min="34" style="1" width="11.89"/>
    <col collapsed="false" customWidth="true" hidden="false" outlineLevel="0" max="35" min="35" style="1" width="8.67"/>
    <col collapsed="false" customWidth="true" hidden="false" outlineLevel="0" max="36" min="36" style="1" width="12.89"/>
    <col collapsed="false" customWidth="true" hidden="false" outlineLevel="0" max="37" min="37" style="1" width="17"/>
    <col collapsed="false" customWidth="true" hidden="false" outlineLevel="0" max="38" min="38" style="1" width="10.65"/>
    <col collapsed="false" customWidth="true" hidden="false" outlineLevel="0" max="42" min="39" style="1" width="8.67"/>
    <col collapsed="false" customWidth="true" hidden="false" outlineLevel="0" max="43" min="43" style="1" width="14.66"/>
    <col collapsed="false" customWidth="true" hidden="false" outlineLevel="0" max="44" min="44" style="1" width="12.56"/>
    <col collapsed="false" customWidth="true" hidden="false" outlineLevel="0" max="45" min="45" style="1" width="11.99"/>
    <col collapsed="false" customWidth="true" hidden="false" outlineLevel="0" max="47" min="46" style="1" width="8.67"/>
    <col collapsed="false" customWidth="true" hidden="false" outlineLevel="0" max="48" min="48" style="1" width="12.33"/>
    <col collapsed="false" customWidth="true" hidden="false" outlineLevel="0" max="49" min="49" style="1" width="15.56"/>
    <col collapsed="false" customWidth="true" hidden="false" outlineLevel="0" max="50" min="50" style="1" width="16"/>
    <col collapsed="false" customWidth="true" hidden="false" outlineLevel="0" max="54" min="51" style="1" width="8.67"/>
    <col collapsed="false" customWidth="true" hidden="false" outlineLevel="0" max="55" min="55" style="1" width="11.33"/>
    <col collapsed="false" customWidth="true" hidden="false" outlineLevel="0" max="56" min="56" style="1" width="17.56"/>
    <col collapsed="false" customWidth="true" hidden="false" outlineLevel="0" max="57" min="57" style="1" width="8.67"/>
    <col collapsed="false" customWidth="true" hidden="false" outlineLevel="0" max="58" min="58" style="1" width="26.13"/>
    <col collapsed="false" customWidth="true" hidden="false" outlineLevel="0" max="1013" min="59" style="1" width="8.67"/>
    <col collapsed="false" customWidth="true" hidden="false" outlineLevel="0" max="1025" min="1014" style="0" width="8.67"/>
  </cols>
  <sheetData>
    <row r="2" customFormat="false" ht="22.8" hidden="false" customHeight="true" outlineLevel="0" collapsed="false">
      <c r="B2" s="178" t="s">
        <v>249</v>
      </c>
      <c r="C2" s="178"/>
      <c r="D2" s="178"/>
      <c r="E2" s="178"/>
      <c r="F2" s="178"/>
      <c r="G2" s="178"/>
    </row>
    <row r="5" customFormat="false" ht="43.8" hidden="false" customHeight="true" outlineLevel="0" collapsed="false">
      <c r="C5" s="179" t="s">
        <v>250</v>
      </c>
      <c r="D5" s="180" t="n">
        <v>25</v>
      </c>
    </row>
    <row r="6" customFormat="false" ht="26.25" hidden="false" customHeight="true" outlineLevel="0" collapsed="false">
      <c r="C6" s="181" t="s">
        <v>251</v>
      </c>
      <c r="D6" s="182" t="n">
        <f aca="false">1/D5</f>
        <v>0.04</v>
      </c>
    </row>
    <row r="7" customFormat="false" ht="14.85" hidden="false" customHeight="true" outlineLevel="0" collapsed="false">
      <c r="C7" s="183"/>
      <c r="D7" s="184"/>
    </row>
    <row r="9" customFormat="false" ht="17.85" hidden="false" customHeight="true" outlineLevel="0" collapsed="false">
      <c r="C9" s="169" t="s">
        <v>252</v>
      </c>
      <c r="D9" s="185" t="s">
        <v>253</v>
      </c>
      <c r="E9" s="186" t="s">
        <v>254</v>
      </c>
      <c r="F9" s="186"/>
      <c r="G9" s="186"/>
      <c r="H9" s="187" t="s">
        <v>255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8" t="s">
        <v>256</v>
      </c>
      <c r="V9" s="188"/>
      <c r="W9" s="188"/>
      <c r="X9" s="188"/>
      <c r="Y9" s="189" t="s">
        <v>257</v>
      </c>
      <c r="Z9" s="189" t="s">
        <v>258</v>
      </c>
      <c r="AA9" s="185" t="s">
        <v>259</v>
      </c>
      <c r="AB9" s="185" t="s">
        <v>260</v>
      </c>
      <c r="AC9" s="185" t="s">
        <v>261</v>
      </c>
      <c r="AD9" s="190"/>
      <c r="AM9" s="185" t="s">
        <v>259</v>
      </c>
      <c r="AN9" s="185" t="s">
        <v>260</v>
      </c>
      <c r="AO9" s="185" t="s">
        <v>261</v>
      </c>
      <c r="BF9" s="185" t="s">
        <v>262</v>
      </c>
    </row>
    <row r="10" customFormat="false" ht="15.75" hidden="false" customHeight="true" outlineLevel="0" collapsed="false">
      <c r="C10" s="169"/>
      <c r="D10" s="169"/>
      <c r="E10" s="186"/>
      <c r="F10" s="186"/>
      <c r="G10" s="186"/>
      <c r="H10" s="191" t="s">
        <v>263</v>
      </c>
      <c r="I10" s="191"/>
      <c r="J10" s="191"/>
      <c r="K10" s="192" t="s">
        <v>264</v>
      </c>
      <c r="L10" s="192"/>
      <c r="M10" s="192"/>
      <c r="N10" s="193" t="s">
        <v>265</v>
      </c>
      <c r="O10" s="193"/>
      <c r="P10" s="193"/>
      <c r="Q10" s="194" t="s">
        <v>266</v>
      </c>
      <c r="R10" s="194"/>
      <c r="S10" s="194"/>
      <c r="T10" s="195" t="s">
        <v>267</v>
      </c>
      <c r="U10" s="196" t="s">
        <v>137</v>
      </c>
      <c r="V10" s="197" t="s">
        <v>268</v>
      </c>
      <c r="W10" s="198" t="s">
        <v>269</v>
      </c>
      <c r="X10" s="199" t="s">
        <v>270</v>
      </c>
      <c r="Y10" s="189"/>
      <c r="Z10" s="189"/>
      <c r="AA10" s="185"/>
      <c r="AB10" s="185"/>
      <c r="AC10" s="185"/>
      <c r="AD10" s="190"/>
      <c r="AF10" s="200"/>
      <c r="AG10" s="200"/>
      <c r="AH10" s="190"/>
      <c r="AJ10" s="200"/>
      <c r="AK10" s="200"/>
      <c r="AM10" s="185"/>
      <c r="AN10" s="185"/>
      <c r="AO10" s="185"/>
      <c r="BF10" s="185"/>
    </row>
    <row r="11" customFormat="false" ht="49.2" hidden="false" customHeight="true" outlineLevel="0" collapsed="false">
      <c r="C11" s="169"/>
      <c r="D11" s="169"/>
      <c r="E11" s="201" t="s">
        <v>271</v>
      </c>
      <c r="F11" s="202" t="s">
        <v>272</v>
      </c>
      <c r="G11" s="203" t="s">
        <v>273</v>
      </c>
      <c r="H11" s="191" t="s">
        <v>108</v>
      </c>
      <c r="I11" s="191" t="s">
        <v>113</v>
      </c>
      <c r="J11" s="191" t="s">
        <v>118</v>
      </c>
      <c r="K11" s="192" t="s">
        <v>108</v>
      </c>
      <c r="L11" s="192" t="s">
        <v>113</v>
      </c>
      <c r="M11" s="192" t="s">
        <v>118</v>
      </c>
      <c r="N11" s="193" t="s">
        <v>108</v>
      </c>
      <c r="O11" s="193" t="s">
        <v>113</v>
      </c>
      <c r="P11" s="193" t="s">
        <v>118</v>
      </c>
      <c r="Q11" s="194" t="s">
        <v>108</v>
      </c>
      <c r="R11" s="194" t="s">
        <v>113</v>
      </c>
      <c r="S11" s="194" t="s">
        <v>118</v>
      </c>
      <c r="T11" s="195"/>
      <c r="U11" s="196"/>
      <c r="V11" s="196"/>
      <c r="W11" s="196"/>
      <c r="X11" s="196"/>
      <c r="Y11" s="189"/>
      <c r="Z11" s="189"/>
      <c r="AA11" s="185"/>
      <c r="AB11" s="185"/>
      <c r="AC11" s="185"/>
      <c r="AD11" s="190"/>
      <c r="AE11" s="189" t="s">
        <v>252</v>
      </c>
      <c r="AF11" s="189" t="s">
        <v>274</v>
      </c>
      <c r="AG11" s="189" t="s">
        <v>275</v>
      </c>
      <c r="AH11" s="185" t="s">
        <v>276</v>
      </c>
      <c r="AJ11" s="189" t="s">
        <v>257</v>
      </c>
      <c r="AK11" s="189" t="s">
        <v>258</v>
      </c>
      <c r="AM11" s="185"/>
      <c r="AN11" s="185"/>
      <c r="AO11" s="185"/>
      <c r="AQ11" s="189" t="s">
        <v>274</v>
      </c>
      <c r="AR11" s="189" t="s">
        <v>275</v>
      </c>
      <c r="AS11" s="185" t="s">
        <v>276</v>
      </c>
      <c r="AU11" s="189" t="s">
        <v>252</v>
      </c>
      <c r="AV11" s="189" t="s">
        <v>277</v>
      </c>
      <c r="AW11" s="189" t="s">
        <v>13</v>
      </c>
      <c r="AX11" s="189" t="s">
        <v>278</v>
      </c>
      <c r="AY11" s="189" t="s">
        <v>108</v>
      </c>
      <c r="AZ11" s="189" t="s">
        <v>113</v>
      </c>
      <c r="BA11" s="189" t="s">
        <v>118</v>
      </c>
      <c r="BC11" s="179" t="s">
        <v>279</v>
      </c>
      <c r="BD11" s="179"/>
      <c r="BF11" s="185"/>
    </row>
    <row r="12" customFormat="false" ht="14.4" hidden="false" customHeight="false" outlineLevel="0" collapsed="false">
      <c r="B12" s="204" t="n">
        <v>1</v>
      </c>
      <c r="C12" s="205" t="n">
        <f aca="false">Dades!F6+1</f>
        <v>1</v>
      </c>
      <c r="D12" s="206" t="e">
        <f aca="false">VLOOKUP(C12-1,mix_electric,2,FALSE())</f>
        <v>#N/A</v>
      </c>
      <c r="E12" s="207" t="n">
        <f aca="false">'Emissions CO2'!$F$20</f>
        <v>0</v>
      </c>
      <c r="F12" s="207" t="e">
        <f aca="false">'Emissions CO2'!$F$22*IF(B12*$D$6&gt;1,1,B12*$D$6)*D12/'Factors d''emissió'!$C$7</f>
        <v>#N/A</v>
      </c>
      <c r="G12" s="207" t="n">
        <f aca="false">'Emissions CO2'!$F$25*$B$61+'Emissions CO2'!$F$26*$B$61*IF($D$6*B12&gt;1,0,$D$6)</f>
        <v>0</v>
      </c>
      <c r="H12" s="207" t="e">
        <f aca="false">'Emissions CO2'!$F$36*IF(B12*$D$6&gt;1,1,B12*$D$6)*(D12*'Factors d''emissió'!$C$34+'Factors d''emissió'!$C$35*'Factors d''emissió'!$C$10+'Factors d''emissió'!$C$36*'Factors d''emissió'!$C$11+'Factors d''emissió'!$C$37*'Factors d''emissió'!$C$12)</f>
        <v>#N/A</v>
      </c>
      <c r="I12" s="207" t="e">
        <f aca="false">(('Emissions CO2'!$G$47*D12)+('Emissions CO2'!$G$48*D12))*IF(B12*$D$6&gt;1,1,B12*$D$6)</f>
        <v>#N/A</v>
      </c>
      <c r="J12" s="207" t="e">
        <f aca="false">'Emissions CO2'!$F$61*IF(B12*$D$6&gt;1,1,B12*$D$6)*(1-BF12)/'Factors d''emissió'!$D$73</f>
        <v>#N/A</v>
      </c>
      <c r="K12" s="207" t="e">
        <f aca="false">'Emissions CO2'!$F$37*D12*IF(B12*$D$6&gt;1,1,B12*$D$6)</f>
        <v>#N/A</v>
      </c>
      <c r="L12" s="207" t="e">
        <f aca="false">(('Emissions CO2'!$G$49*D12)+('Emissions CO2'!$G$50*D12))*IF(B12*$D$6&gt;1,1,B12*$D$6)</f>
        <v>#N/A</v>
      </c>
      <c r="M12" s="207" t="e">
        <f aca="false">'Emissions CO2'!$F$62*IF(B12*$D$6&gt;1,1,B12*$D$6)*(1-BF12)/'Factors d''emissió'!$D$73</f>
        <v>#N/A</v>
      </c>
      <c r="N12" s="207" t="e">
        <f aca="false">'Emissions CO2'!$F$38*D12*IF(B12*$D$6&gt;1,1,B12*$D$6)</f>
        <v>#N/A</v>
      </c>
      <c r="O12" s="207" t="e">
        <f aca="false">(('Emissions CO2'!$G$51*D12)+('Emissions CO2'!$G$52*D12))*IF(B12*$D$6&gt;1,1,B12*$D$6)</f>
        <v>#N/A</v>
      </c>
      <c r="P12" s="207" t="e">
        <f aca="false">'Emissions CO2'!$F$63*IF(B12*$D$6&gt;1,1,B12*$D$6)*(1-BF12)/'Factors d''emissió'!$D$73</f>
        <v>#N/A</v>
      </c>
      <c r="Q12" s="207" t="e">
        <f aca="false">'Emissions CO2'!$F$39*IF(B12*$D$6&gt;1,1,B12*$D$6)*(D12*'Factors d''emissió'!$C$41+'Factors d''emissió'!$C$10*'Factors d''emissió'!$C$42+'Factors d''emissió'!$C$11*'Factors d''emissió'!$C$43+'Factors d''emissió'!$C$12*'Factors d''emissió'!$C$44)</f>
        <v>#N/A</v>
      </c>
      <c r="R12" s="207" t="e">
        <f aca="false">(('Emissions CO2'!$G$53*D12)+('Emissions CO2'!$G$54*D12))*IF(B12*$D$6&gt;1,1,B12*$D$6)</f>
        <v>#N/A</v>
      </c>
      <c r="S12" s="207" t="e">
        <f aca="false">'Emissions CO2'!$F$64*IF(B12*$D$6&gt;1,1,B12*$D$6)*(1-BF12)/'Factors d''emissió'!$D$73</f>
        <v>#N/A</v>
      </c>
      <c r="T12" s="208" t="e">
        <f aca="false">'Emissions CO2'!$F$40*D12</f>
        <v>#N/A</v>
      </c>
      <c r="U12" s="207" t="e">
        <f aca="false">(('Fixació CO2'!$F$14+'Fixació CO2'!$F$15)*D12*(1-'Factors d''emissió'!$E$55))*IF(B12*$D$6&gt;1,1,B12*$D$6)</f>
        <v>#N/A</v>
      </c>
      <c r="V12" s="207" t="n">
        <f aca="false">((Dades!$E$131*Dades!$E$130+Dades!$F$131*Dades!$F$130+Dades!$E$139*Dades!$E$138+Dades!$F$139*Dades!$F$138)*1000/20)+'Fixació CO2'!$F$21+'Fixació CO2'!$F$26*IF(B12*$D$6&gt;1,1,B12*$D$6)+(Dades!$F$121*('Factors d''emissió'!$C$154+('Factors d''emissió'!$C$156-'Factors d''emissió'!$C$154)*IF(B12*$D$6&gt;1,1,B12*$D$6))/10)+'Fixació CO2'!$F$22*IF(B12*$D$6&gt;1,1,B12*$D$6)</f>
        <v>0</v>
      </c>
      <c r="W12" s="207" t="e">
        <f aca="false">('Fixació CO2'!$F$40+'Fixació CO2'!$F$41+('Fixació CO2'!$F$39+'Fixació CO2'!$F$47+'Fixació CO2'!$F$48+'Fixació CO2'!$F$49)*IF(B12*$D$6&gt;1,1,B12*$D$6))*D12</f>
        <v>#N/A</v>
      </c>
      <c r="X12" s="207" t="n">
        <f aca="false">SUM('Fixació CO2'!$F$55:$F$57)</f>
        <v>0</v>
      </c>
      <c r="Y12" s="207" t="e">
        <f aca="false">(SUM(E12:T12)-U12)/1000</f>
        <v>#N/A</v>
      </c>
      <c r="Z12" s="207" t="e">
        <f aca="false">(V12+W12+X12)/1000</f>
        <v>#N/A</v>
      </c>
      <c r="AA12" s="207" t="e">
        <f aca="false">Y12-Z12</f>
        <v>#N/A</v>
      </c>
      <c r="AB12" s="207" t="e">
        <f aca="false">AA12*1000/ABS(Dades!$F$7)</f>
        <v>#N/A</v>
      </c>
      <c r="AC12" s="207" t="e">
        <f aca="false">AB12*10</f>
        <v>#N/A</v>
      </c>
      <c r="AD12" s="209"/>
      <c r="AE12" s="210" t="n">
        <f aca="false">C12</f>
        <v>1</v>
      </c>
      <c r="AF12" s="207" t="e">
        <f aca="false">Y12</f>
        <v>#N/A</v>
      </c>
      <c r="AG12" s="207" t="e">
        <f aca="false">Z12</f>
        <v>#N/A</v>
      </c>
      <c r="AH12" s="207" t="e">
        <f aca="false">AF12-AG12</f>
        <v>#N/A</v>
      </c>
      <c r="AJ12" s="207" t="e">
        <f aca="false">(SUM(E12:T12)-U12-F12-G12)/1000</f>
        <v>#N/A</v>
      </c>
      <c r="AK12" s="207" t="e">
        <f aca="false">(V12+W12+X12)/1000</f>
        <v>#N/A</v>
      </c>
      <c r="AL12" s="211"/>
      <c r="AM12" s="207" t="e">
        <f aca="false">AJ12-AK12</f>
        <v>#N/A</v>
      </c>
      <c r="AN12" s="207" t="e">
        <f aca="false">AM12*1000/ABS(Dades!$F$7)</f>
        <v>#N/A</v>
      </c>
      <c r="AO12" s="207" t="e">
        <f aca="false">AN12*10</f>
        <v>#N/A</v>
      </c>
      <c r="AQ12" s="207" t="e">
        <f aca="false">AJ12</f>
        <v>#N/A</v>
      </c>
      <c r="AR12" s="207" t="e">
        <f aca="false">AK12</f>
        <v>#N/A</v>
      </c>
      <c r="AS12" s="207" t="e">
        <f aca="false">AQ12-AR12</f>
        <v>#N/A</v>
      </c>
      <c r="AU12" s="210" t="n">
        <f aca="false">C12</f>
        <v>1</v>
      </c>
      <c r="AV12" s="212" t="n">
        <f aca="false">E12</f>
        <v>0</v>
      </c>
      <c r="AW12" s="212" t="e">
        <f aca="false">F12</f>
        <v>#N/A</v>
      </c>
      <c r="AX12" s="212" t="n">
        <f aca="false">G12</f>
        <v>0</v>
      </c>
      <c r="AY12" s="210" t="e">
        <f aca="false">H12+K12+N12+Q12+T12</f>
        <v>#N/A</v>
      </c>
      <c r="AZ12" s="210" t="e">
        <f aca="false">I12+L12+O12+R12-U12</f>
        <v>#N/A</v>
      </c>
      <c r="BA12" s="210" t="e">
        <f aca="false">J12+M12+P12+S12</f>
        <v>#N/A</v>
      </c>
      <c r="BC12" s="213" t="s">
        <v>181</v>
      </c>
      <c r="BD12" s="213" t="n">
        <f aca="false">AV62</f>
        <v>0</v>
      </c>
      <c r="BF12" s="214" t="e">
        <f aca="false">VLOOKUP(C12-1,mix_electric,3,FALSE())</f>
        <v>#N/A</v>
      </c>
      <c r="BK12" s="95"/>
      <c r="BL12" s="95"/>
      <c r="BM12" s="95"/>
      <c r="BN12" s="131"/>
    </row>
    <row r="13" customFormat="false" ht="14.4" hidden="false" customHeight="false" outlineLevel="0" collapsed="false">
      <c r="B13" s="204" t="n">
        <v>2</v>
      </c>
      <c r="C13" s="205" t="n">
        <f aca="false">C12+1</f>
        <v>2</v>
      </c>
      <c r="D13" s="206" t="e">
        <f aca="false">VLOOKUP(C13-1,mix_electric,2,FALSE())</f>
        <v>#N/A</v>
      </c>
      <c r="E13" s="207" t="n">
        <f aca="false">'Emissions CO2'!$F$20</f>
        <v>0</v>
      </c>
      <c r="F13" s="207" t="e">
        <f aca="false">'Emissions CO2'!$F$22*IF(B13*$D$6&gt;1,1,B13*$D$6)*D13/'Factors d''emissió'!$C$7</f>
        <v>#N/A</v>
      </c>
      <c r="G13" s="207" t="n">
        <f aca="false">'Emissions CO2'!$F$26*$B$61*IF($D$6*B13&gt;1,0,$D$6)</f>
        <v>0</v>
      </c>
      <c r="H13" s="207" t="e">
        <f aca="false">'Emissions CO2'!$F$36*IF(B13*$D$6&gt;1,1,B13*$D$6)*(D13*'Factors d''emissió'!$C$34+'Factors d''emissió'!$C$35*'Factors d''emissió'!$C$10+'Factors d''emissió'!$C$36*'Factors d''emissió'!$C$11+'Factors d''emissió'!$C$37*'Factors d''emissió'!$C$12)</f>
        <v>#N/A</v>
      </c>
      <c r="I13" s="207" t="e">
        <f aca="false">(('Emissions CO2'!$G$47*D13)+('Emissions CO2'!$G$48*D13))*IF(B13*$D$6&gt;1,1,B13*$D$6)</f>
        <v>#N/A</v>
      </c>
      <c r="J13" s="207" t="e">
        <f aca="false">'Emissions CO2'!$F$61*IF(B13*$D$6&gt;1,1,B13*$D$6)*(1-BF13)/'Factors d''emissió'!$D$73</f>
        <v>#N/A</v>
      </c>
      <c r="K13" s="207" t="e">
        <f aca="false">'Emissions CO2'!$F$37*D13*IF(B13*$D$6&gt;1,1,B13*$D$6)</f>
        <v>#N/A</v>
      </c>
      <c r="L13" s="207" t="e">
        <f aca="false">(('Emissions CO2'!$G$49*D13)+('Emissions CO2'!$G$50*D13))*IF(B13*$D$6&gt;1,1,B13*$D$6)</f>
        <v>#N/A</v>
      </c>
      <c r="M13" s="207" t="e">
        <f aca="false">'Emissions CO2'!$F$62*IF(B13*$D$6&gt;1,1,B13*$D$6)*(1-BF13)/'Factors d''emissió'!$D$73</f>
        <v>#N/A</v>
      </c>
      <c r="N13" s="207" t="e">
        <f aca="false">'Emissions CO2'!$F$38*D13*IF(B13*$D$6&gt;1,1,B13*$D$6)</f>
        <v>#N/A</v>
      </c>
      <c r="O13" s="207" t="e">
        <f aca="false">(('Emissions CO2'!$G$51*D13)+('Emissions CO2'!$G$52*D13))*IF(B13*$D$6&gt;1,1,B13*$D$6)</f>
        <v>#N/A</v>
      </c>
      <c r="P13" s="207" t="e">
        <f aca="false">'Emissions CO2'!$F$63*IF(B13*$D$6&gt;1,1,B13*$D$6)*(1-BF13)/'Factors d''emissió'!$D$73</f>
        <v>#N/A</v>
      </c>
      <c r="Q13" s="207" t="e">
        <f aca="false">'Emissions CO2'!$F$39*IF(B13*$D$6&gt;1,1,B13*$D$6)*(D13*'Factors d''emissió'!$C$41+'Factors d''emissió'!$C$10*'Factors d''emissió'!$C$42+'Factors d''emissió'!$C$11*'Factors d''emissió'!$C$43+'Factors d''emissió'!$C$12*'Factors d''emissió'!$C$44)</f>
        <v>#N/A</v>
      </c>
      <c r="R13" s="207" t="e">
        <f aca="false">(('Emissions CO2'!$G$53*D13)+('Emissions CO2'!$G$54*D13))*IF(B13*$D$6&gt;1,1,B13*$D$6)</f>
        <v>#N/A</v>
      </c>
      <c r="S13" s="207" t="e">
        <f aca="false">'Emissions CO2'!$F$64*IF(B13*$D$6&gt;1,1,B13*$D$6)*(1-BF13)/'Factors d''emissió'!$D$73</f>
        <v>#N/A</v>
      </c>
      <c r="T13" s="208" t="e">
        <f aca="false">'Emissions CO2'!$F$40*D13</f>
        <v>#N/A</v>
      </c>
      <c r="U13" s="207" t="e">
        <f aca="false">(('Fixació CO2'!$F$14+'Fixació CO2'!$F$15)*D13*(1-'Factors d''emissió'!$E$55))*IF(B13*$D$6&gt;1,1,B13*$D$6)</f>
        <v>#N/A</v>
      </c>
      <c r="V13" s="207" t="n">
        <f aca="false">((Dades!$E$131*Dades!$E$130+Dades!$F$131*Dades!$F$130+Dades!$E$139*Dades!$E$138+Dades!$F$139*Dades!$F$138)*1000/20)+'Fixació CO2'!$F$21+'Fixació CO2'!$F$26*IF(B13*$D$6&gt;1,1,B13*$D$6)+(Dades!$F$121*('Factors d''emissió'!$C$154+('Factors d''emissió'!$C$156-'Factors d''emissió'!$C$154)*IF(B13*$D$6&gt;1,1,B13*$D$6))/10)+'Fixació CO2'!$F$22*IF(B13*$D$6&gt;1,1,B13*$D$6)</f>
        <v>0</v>
      </c>
      <c r="W13" s="207" t="e">
        <f aca="false">('Fixació CO2'!$F$40+'Fixació CO2'!$F$41+('Fixació CO2'!$F$39+'Fixació CO2'!$F$47+'Fixació CO2'!$F$48+'Fixació CO2'!$F$49)*IF(B13*$D$6&gt;1,1,B13*$D$6))*D13</f>
        <v>#N/A</v>
      </c>
      <c r="X13" s="207" t="n">
        <f aca="false">SUM('Fixació CO2'!$F$55:$F$57)</f>
        <v>0</v>
      </c>
      <c r="Y13" s="207" t="e">
        <f aca="false">(SUM(E13:T13)-U13)/1000</f>
        <v>#N/A</v>
      </c>
      <c r="Z13" s="207" t="e">
        <f aca="false">(V13+W13+X13)/1000</f>
        <v>#N/A</v>
      </c>
      <c r="AA13" s="207" t="e">
        <f aca="false">Y13-Z13</f>
        <v>#N/A</v>
      </c>
      <c r="AB13" s="207" t="e">
        <f aca="false">AA13*1000/ABS(Dades!$F$7)</f>
        <v>#N/A</v>
      </c>
      <c r="AC13" s="207" t="e">
        <f aca="false">AB13*10</f>
        <v>#N/A</v>
      </c>
      <c r="AD13" s="209"/>
      <c r="AE13" s="210" t="n">
        <f aca="false">C13</f>
        <v>2</v>
      </c>
      <c r="AF13" s="207" t="e">
        <f aca="false">AF12+Y13</f>
        <v>#N/A</v>
      </c>
      <c r="AG13" s="207" t="e">
        <f aca="false">AG12+Z13</f>
        <v>#N/A</v>
      </c>
      <c r="AH13" s="207" t="e">
        <f aca="false">AF13-AG13</f>
        <v>#N/A</v>
      </c>
      <c r="AJ13" s="207" t="e">
        <f aca="false">(SUM(E13:T13)-U13-F13-G13)/1000</f>
        <v>#N/A</v>
      </c>
      <c r="AK13" s="207" t="e">
        <f aca="false">(V13+W13+X13)/1000</f>
        <v>#N/A</v>
      </c>
      <c r="AL13" s="211"/>
      <c r="AM13" s="207" t="e">
        <f aca="false">AJ13-AK13</f>
        <v>#N/A</v>
      </c>
      <c r="AN13" s="207" t="e">
        <f aca="false">AM13*1000/ABS(Dades!$F$7)</f>
        <v>#N/A</v>
      </c>
      <c r="AO13" s="207" t="e">
        <f aca="false">AN13*10</f>
        <v>#N/A</v>
      </c>
      <c r="AQ13" s="207" t="e">
        <f aca="false">AQ12+AJ13</f>
        <v>#N/A</v>
      </c>
      <c r="AR13" s="207" t="e">
        <f aca="false">AR12+AK13</f>
        <v>#N/A</v>
      </c>
      <c r="AS13" s="207" t="e">
        <f aca="false">AQ13-AR13</f>
        <v>#N/A</v>
      </c>
      <c r="AU13" s="210" t="n">
        <f aca="false">C13</f>
        <v>2</v>
      </c>
      <c r="AV13" s="212" t="n">
        <f aca="false">E13</f>
        <v>0</v>
      </c>
      <c r="AW13" s="212" t="e">
        <f aca="false">F13</f>
        <v>#N/A</v>
      </c>
      <c r="AX13" s="212" t="n">
        <f aca="false">G13</f>
        <v>0</v>
      </c>
      <c r="AY13" s="210" t="e">
        <f aca="false">H13+K13+N13+Q13+T13</f>
        <v>#N/A</v>
      </c>
      <c r="AZ13" s="210" t="e">
        <f aca="false">I13+L13+O13+R13-U13</f>
        <v>#N/A</v>
      </c>
      <c r="BA13" s="210" t="e">
        <f aca="false">J13+M13+P13+S13</f>
        <v>#N/A</v>
      </c>
      <c r="BC13" s="213" t="s">
        <v>153</v>
      </c>
      <c r="BD13" s="213" t="e">
        <f aca="false">AW62</f>
        <v>#N/A</v>
      </c>
      <c r="BF13" s="214" t="e">
        <f aca="false">VLOOKUP(C13-1,mix_electric,3,FALSE())</f>
        <v>#N/A</v>
      </c>
      <c r="BM13" s="95"/>
      <c r="BN13" s="95"/>
    </row>
    <row r="14" customFormat="false" ht="14.4" hidden="false" customHeight="false" outlineLevel="0" collapsed="false">
      <c r="B14" s="204" t="n">
        <v>3</v>
      </c>
      <c r="C14" s="205" t="n">
        <f aca="false">C13+1</f>
        <v>3</v>
      </c>
      <c r="D14" s="206" t="e">
        <f aca="false">VLOOKUP(C14-1,mix_electric,2,FALSE())</f>
        <v>#N/A</v>
      </c>
      <c r="E14" s="207" t="n">
        <f aca="false">'Emissions CO2'!$F$20</f>
        <v>0</v>
      </c>
      <c r="F14" s="207" t="e">
        <f aca="false">'Emissions CO2'!$F$22*IF(B14*$D$6&gt;1,1,B14*$D$6)*D14/'Factors d''emissió'!$C$7</f>
        <v>#N/A</v>
      </c>
      <c r="G14" s="207" t="n">
        <f aca="false">'Emissions CO2'!$F$26*$B$61*IF($D$6*B14&gt;1,0,$D$6)</f>
        <v>0</v>
      </c>
      <c r="H14" s="207" t="e">
        <f aca="false">'Emissions CO2'!$F$36*IF(B14*$D$6&gt;1,1,B14*$D$6)*(D14*'Factors d''emissió'!$C$34+'Factors d''emissió'!$C$35*'Factors d''emissió'!$C$10+'Factors d''emissió'!$C$36*'Factors d''emissió'!$C$11+'Factors d''emissió'!$C$37*'Factors d''emissió'!$C$12)</f>
        <v>#N/A</v>
      </c>
      <c r="I14" s="207" t="e">
        <f aca="false">(('Emissions CO2'!$G$47*D14)+('Emissions CO2'!$G$48*D14))*IF(B14*$D$6&gt;1,1,B14*$D$6)</f>
        <v>#N/A</v>
      </c>
      <c r="J14" s="207" t="e">
        <f aca="false">'Emissions CO2'!$F$61*IF(B14*$D$6&gt;1,1,B14*$D$6)*(1-BF14)/'Factors d''emissió'!$D$73</f>
        <v>#N/A</v>
      </c>
      <c r="K14" s="207" t="e">
        <f aca="false">'Emissions CO2'!$F$37*D14*IF(B14*$D$6&gt;1,1,B14*$D$6)</f>
        <v>#N/A</v>
      </c>
      <c r="L14" s="207" t="e">
        <f aca="false">(('Emissions CO2'!$G$49*D14)+('Emissions CO2'!$G$50*D14))*IF(B14*$D$6&gt;1,1,B14*$D$6)</f>
        <v>#N/A</v>
      </c>
      <c r="M14" s="207" t="e">
        <f aca="false">'Emissions CO2'!$F$62*IF(B14*$D$6&gt;1,1,B14*$D$6)*(1-BF14)/'Factors d''emissió'!$D$73</f>
        <v>#N/A</v>
      </c>
      <c r="N14" s="207" t="e">
        <f aca="false">'Emissions CO2'!$F$38*D14*IF(B14*$D$6&gt;1,1,B14*$D$6)</f>
        <v>#N/A</v>
      </c>
      <c r="O14" s="207" t="e">
        <f aca="false">(('Emissions CO2'!$G$51*D14)+('Emissions CO2'!$G$52*D14))*IF(B14*$D$6&gt;1,1,B14*$D$6)</f>
        <v>#N/A</v>
      </c>
      <c r="P14" s="207" t="e">
        <f aca="false">'Emissions CO2'!$F$63*IF(B14*$D$6&gt;1,1,B14*$D$6)*(1-BF14)/'Factors d''emissió'!$D$73</f>
        <v>#N/A</v>
      </c>
      <c r="Q14" s="207" t="e">
        <f aca="false">'Emissions CO2'!$F$39*IF(B14*$D$6&gt;1,1,B14*$D$6)*(D14*'Factors d''emissió'!$C$41+'Factors d''emissió'!$C$10*'Factors d''emissió'!$C$42+'Factors d''emissió'!$C$11*'Factors d''emissió'!$C$43+'Factors d''emissió'!$C$12*'Factors d''emissió'!$C$44)</f>
        <v>#N/A</v>
      </c>
      <c r="R14" s="207" t="e">
        <f aca="false">(('Emissions CO2'!$G$53*D14)+('Emissions CO2'!$G$54*D14))*IF(B14*$D$6&gt;1,1,B14*$D$6)</f>
        <v>#N/A</v>
      </c>
      <c r="S14" s="207" t="e">
        <f aca="false">'Emissions CO2'!$F$64*IF(B14*$D$6&gt;1,1,B14*$D$6)*(1-BF14)/'Factors d''emissió'!$D$73</f>
        <v>#N/A</v>
      </c>
      <c r="T14" s="208" t="e">
        <f aca="false">'Emissions CO2'!$F$40*D14</f>
        <v>#N/A</v>
      </c>
      <c r="U14" s="207" t="e">
        <f aca="false">(('Fixació CO2'!$F$14+'Fixació CO2'!$F$15)*D14*(1-'Factors d''emissió'!$E$55))*IF(B14*$D$6&gt;1,1,B14*$D$6)</f>
        <v>#N/A</v>
      </c>
      <c r="V14" s="207" t="n">
        <f aca="false">((Dades!$E$131*Dades!$E$130+Dades!$F$131*Dades!$F$130+Dades!$E$139*Dades!$E$138+Dades!$F$139*Dades!$F$138)*1000/20)+'Fixació CO2'!$F$21+'Fixació CO2'!$F$26*IF(B14*$D$6&gt;1,1,B14*$D$6)+(Dades!$F$121*('Factors d''emissió'!$C$154+('Factors d''emissió'!$C$156-'Factors d''emissió'!$C$154)*IF(B14*$D$6&gt;1,1,B14*$D$6))/10)+'Fixació CO2'!$F$22*IF(B14*$D$6&gt;1,1,B14*$D$6)</f>
        <v>0</v>
      </c>
      <c r="W14" s="207" t="e">
        <f aca="false">('Fixació CO2'!$F$40+'Fixació CO2'!$F$41+('Fixació CO2'!$F$39+'Fixació CO2'!$F$47+'Fixació CO2'!$F$48+'Fixació CO2'!$F$49)*IF(B14*$D$6&gt;1,1,B14*$D$6))*D14</f>
        <v>#N/A</v>
      </c>
      <c r="X14" s="207" t="n">
        <f aca="false">SUM('Fixació CO2'!$F$55:$F$57)</f>
        <v>0</v>
      </c>
      <c r="Y14" s="207" t="e">
        <f aca="false">(SUM(E14:T14)-U14)/1000</f>
        <v>#N/A</v>
      </c>
      <c r="Z14" s="207" t="e">
        <f aca="false">(V14+W14+X14)/1000</f>
        <v>#N/A</v>
      </c>
      <c r="AA14" s="207" t="e">
        <f aca="false">Y14-Z14</f>
        <v>#N/A</v>
      </c>
      <c r="AB14" s="207" t="e">
        <f aca="false">AA14*1000/ABS(Dades!$F$7)</f>
        <v>#N/A</v>
      </c>
      <c r="AC14" s="207" t="e">
        <f aca="false">AB14*10</f>
        <v>#N/A</v>
      </c>
      <c r="AD14" s="209"/>
      <c r="AE14" s="210" t="n">
        <f aca="false">C14</f>
        <v>3</v>
      </c>
      <c r="AF14" s="207" t="e">
        <f aca="false">AF13+Y14</f>
        <v>#N/A</v>
      </c>
      <c r="AG14" s="207" t="e">
        <f aca="false">AG13+Z14</f>
        <v>#N/A</v>
      </c>
      <c r="AH14" s="207" t="e">
        <f aca="false">AF14-AG14</f>
        <v>#N/A</v>
      </c>
      <c r="AJ14" s="207" t="e">
        <f aca="false">(SUM(E14:T14)-U14-F14-G14)/1000</f>
        <v>#N/A</v>
      </c>
      <c r="AK14" s="207" t="e">
        <f aca="false">(V14+W14+X14)/1000</f>
        <v>#N/A</v>
      </c>
      <c r="AL14" s="211"/>
      <c r="AM14" s="207" t="e">
        <f aca="false">AJ14-AK14</f>
        <v>#N/A</v>
      </c>
      <c r="AN14" s="207" t="e">
        <f aca="false">AM14*1000/ABS(Dades!$F$7)</f>
        <v>#N/A</v>
      </c>
      <c r="AO14" s="207" t="e">
        <f aca="false">AN14*10</f>
        <v>#N/A</v>
      </c>
      <c r="AQ14" s="207" t="e">
        <f aca="false">AQ13+AJ14</f>
        <v>#N/A</v>
      </c>
      <c r="AR14" s="207" t="e">
        <f aca="false">AR13+AK14</f>
        <v>#N/A</v>
      </c>
      <c r="AS14" s="207" t="e">
        <f aca="false">AQ14-AR14</f>
        <v>#N/A</v>
      </c>
      <c r="AU14" s="210" t="n">
        <f aca="false">C14</f>
        <v>3</v>
      </c>
      <c r="AV14" s="212" t="n">
        <f aca="false">E14</f>
        <v>0</v>
      </c>
      <c r="AW14" s="212" t="e">
        <f aca="false">F14</f>
        <v>#N/A</v>
      </c>
      <c r="AX14" s="212" t="n">
        <f aca="false">G14</f>
        <v>0</v>
      </c>
      <c r="AY14" s="210" t="e">
        <f aca="false">H14+K14+N14+Q14+T14</f>
        <v>#N/A</v>
      </c>
      <c r="AZ14" s="210" t="e">
        <f aca="false">I14+L14+O14+R14-U14</f>
        <v>#N/A</v>
      </c>
      <c r="BA14" s="210" t="e">
        <f aca="false">J14+M14+P14+S14</f>
        <v>#N/A</v>
      </c>
      <c r="BC14" s="213" t="s">
        <v>154</v>
      </c>
      <c r="BD14" s="213" t="n">
        <f aca="false">AX62</f>
        <v>0</v>
      </c>
      <c r="BF14" s="214" t="e">
        <f aca="false">VLOOKUP(C14-1,mix_electric,3,FALSE())</f>
        <v>#N/A</v>
      </c>
      <c r="BM14" s="95"/>
      <c r="BN14" s="95"/>
    </row>
    <row r="15" customFormat="false" ht="14.4" hidden="false" customHeight="false" outlineLevel="0" collapsed="false">
      <c r="B15" s="204" t="n">
        <v>4</v>
      </c>
      <c r="C15" s="205" t="n">
        <f aca="false">C14+1</f>
        <v>4</v>
      </c>
      <c r="D15" s="206" t="e">
        <f aca="false">VLOOKUP(C15-1,mix_electric,2,FALSE())</f>
        <v>#N/A</v>
      </c>
      <c r="E15" s="207" t="n">
        <f aca="false">'Emissions CO2'!$F$20</f>
        <v>0</v>
      </c>
      <c r="F15" s="207" t="e">
        <f aca="false">'Emissions CO2'!$F$22*IF(B15*$D$6&gt;1,1,B15*$D$6)*D15/'Factors d''emissió'!$C$7</f>
        <v>#N/A</v>
      </c>
      <c r="G15" s="207" t="n">
        <f aca="false">'Emissions CO2'!$F$26*$B$61*IF($D$6*B15&gt;1,0,$D$6)</f>
        <v>0</v>
      </c>
      <c r="H15" s="207" t="e">
        <f aca="false">'Emissions CO2'!$F$36*IF(B15*$D$6&gt;1,1,B15*$D$6)*(D15*'Factors d''emissió'!$C$34+'Factors d''emissió'!$C$35*'Factors d''emissió'!$C$10+'Factors d''emissió'!$C$36*'Factors d''emissió'!$C$11+'Factors d''emissió'!$C$37*'Factors d''emissió'!$C$12)</f>
        <v>#N/A</v>
      </c>
      <c r="I15" s="207" t="e">
        <f aca="false">(('Emissions CO2'!$G$47*D15)+('Emissions CO2'!$G$48*D15))*IF(B15*$D$6&gt;1,1,B15*$D$6)</f>
        <v>#N/A</v>
      </c>
      <c r="J15" s="207" t="e">
        <f aca="false">'Emissions CO2'!$F$61*IF(B15*$D$6&gt;1,1,B15*$D$6)*(1-BF15)/'Factors d''emissió'!$D$73</f>
        <v>#N/A</v>
      </c>
      <c r="K15" s="207" t="e">
        <f aca="false">'Emissions CO2'!$F$37*D15*IF(B15*$D$6&gt;1,1,B15*$D$6)</f>
        <v>#N/A</v>
      </c>
      <c r="L15" s="207" t="e">
        <f aca="false">(('Emissions CO2'!$G$49*D15)+('Emissions CO2'!$G$50*D15))*IF(B15*$D$6&gt;1,1,B15*$D$6)</f>
        <v>#N/A</v>
      </c>
      <c r="M15" s="207" t="e">
        <f aca="false">'Emissions CO2'!$F$62*IF(B15*$D$6&gt;1,1,B15*$D$6)*(1-BF15)/'Factors d''emissió'!$D$73</f>
        <v>#N/A</v>
      </c>
      <c r="N15" s="207" t="e">
        <f aca="false">'Emissions CO2'!$F$38*D15*IF(B15*$D$6&gt;1,1,B15*$D$6)</f>
        <v>#N/A</v>
      </c>
      <c r="O15" s="207" t="e">
        <f aca="false">(('Emissions CO2'!$G$51*D15)+('Emissions CO2'!$G$52*D15))*IF(B15*$D$6&gt;1,1,B15*$D$6)</f>
        <v>#N/A</v>
      </c>
      <c r="P15" s="207" t="e">
        <f aca="false">'Emissions CO2'!$F$63*IF(B15*$D$6&gt;1,1,B15*$D$6)*(1-BF15)/'Factors d''emissió'!$D$73</f>
        <v>#N/A</v>
      </c>
      <c r="Q15" s="207" t="e">
        <f aca="false">'Emissions CO2'!$F$39*IF(B15*$D$6&gt;1,1,B15*$D$6)*(D15*'Factors d''emissió'!$C$41+'Factors d''emissió'!$C$10*'Factors d''emissió'!$C$42+'Factors d''emissió'!$C$11*'Factors d''emissió'!$C$43+'Factors d''emissió'!$C$12*'Factors d''emissió'!$C$44)</f>
        <v>#N/A</v>
      </c>
      <c r="R15" s="207" t="e">
        <f aca="false">(('Emissions CO2'!$G$53*D15)+('Emissions CO2'!$G$54*D15))*IF(B15*$D$6&gt;1,1,B15*$D$6)</f>
        <v>#N/A</v>
      </c>
      <c r="S15" s="207" t="e">
        <f aca="false">'Emissions CO2'!$F$64*IF(B15*$D$6&gt;1,1,B15*$D$6)*(1-BF15)/'Factors d''emissió'!$D$73</f>
        <v>#N/A</v>
      </c>
      <c r="T15" s="208" t="e">
        <f aca="false">'Emissions CO2'!$F$40*D15</f>
        <v>#N/A</v>
      </c>
      <c r="U15" s="207" t="e">
        <f aca="false">(('Fixació CO2'!$F$14+'Fixació CO2'!$F$15)*D15*(1-'Factors d''emissió'!$E$55))*IF(B15*$D$6&gt;1,1,B15*$D$6)</f>
        <v>#N/A</v>
      </c>
      <c r="V15" s="207" t="n">
        <f aca="false">((Dades!$E$131*Dades!$E$130+Dades!$F$131*Dades!$F$130+Dades!$E$139*Dades!$E$138+Dades!$F$139*Dades!$F$138)*1000/20)+'Fixació CO2'!$F$21+'Fixació CO2'!$F$26*IF(B15*$D$6&gt;1,1,B15*$D$6)+(Dades!$F$121*('Factors d''emissió'!$C$154+('Factors d''emissió'!$C$156-'Factors d''emissió'!$C$154)*IF(B15*$D$6&gt;1,1,B15*$D$6))/10)+'Fixació CO2'!$F$22*IF(B15*$D$6&gt;1,1,B15*$D$6)</f>
        <v>0</v>
      </c>
      <c r="W15" s="207" t="e">
        <f aca="false">('Fixació CO2'!$F$40+'Fixació CO2'!$F$41+('Fixació CO2'!$F$39+'Fixació CO2'!$F$47+'Fixació CO2'!$F$48+'Fixació CO2'!$F$49)*IF(B15*$D$6&gt;1,1,B15*$D$6))*D15</f>
        <v>#N/A</v>
      </c>
      <c r="X15" s="207" t="n">
        <f aca="false">SUM('Fixació CO2'!$F$55:$F$57)</f>
        <v>0</v>
      </c>
      <c r="Y15" s="207" t="e">
        <f aca="false">(SUM(E15:T15)-U15)/1000</f>
        <v>#N/A</v>
      </c>
      <c r="Z15" s="207" t="e">
        <f aca="false">(V15+W15+X15)/1000</f>
        <v>#N/A</v>
      </c>
      <c r="AA15" s="207" t="e">
        <f aca="false">Y15-Z15</f>
        <v>#N/A</v>
      </c>
      <c r="AB15" s="207" t="e">
        <f aca="false">AA15*1000/ABS(Dades!$F$7)</f>
        <v>#N/A</v>
      </c>
      <c r="AC15" s="207" t="e">
        <f aca="false">AB15*10</f>
        <v>#N/A</v>
      </c>
      <c r="AD15" s="209"/>
      <c r="AE15" s="210" t="n">
        <f aca="false">C15</f>
        <v>4</v>
      </c>
      <c r="AF15" s="207" t="e">
        <f aca="false">AF14+Y15</f>
        <v>#N/A</v>
      </c>
      <c r="AG15" s="207" t="e">
        <f aca="false">AG14+Z15</f>
        <v>#N/A</v>
      </c>
      <c r="AH15" s="207" t="e">
        <f aca="false">AF15-AG15</f>
        <v>#N/A</v>
      </c>
      <c r="AJ15" s="207" t="e">
        <f aca="false">(SUM(E15:T15)-U15-F15-G15)/1000</f>
        <v>#N/A</v>
      </c>
      <c r="AK15" s="207" t="e">
        <f aca="false">(V15+W15+X15)/1000</f>
        <v>#N/A</v>
      </c>
      <c r="AL15" s="211"/>
      <c r="AM15" s="207" t="e">
        <f aca="false">AJ15-AK15</f>
        <v>#N/A</v>
      </c>
      <c r="AN15" s="207" t="e">
        <f aca="false">AM15*1000/ABS(Dades!$F$7)</f>
        <v>#N/A</v>
      </c>
      <c r="AO15" s="207" t="e">
        <f aca="false">AN15*10</f>
        <v>#N/A</v>
      </c>
      <c r="AQ15" s="207" t="e">
        <f aca="false">AQ14+AJ15</f>
        <v>#N/A</v>
      </c>
      <c r="AR15" s="207" t="e">
        <f aca="false">AR14+AK15</f>
        <v>#N/A</v>
      </c>
      <c r="AS15" s="207" t="e">
        <f aca="false">AQ15-AR15</f>
        <v>#N/A</v>
      </c>
      <c r="AU15" s="210" t="n">
        <f aca="false">C15</f>
        <v>4</v>
      </c>
      <c r="AV15" s="212" t="n">
        <f aca="false">E15</f>
        <v>0</v>
      </c>
      <c r="AW15" s="212" t="e">
        <f aca="false">F15</f>
        <v>#N/A</v>
      </c>
      <c r="AX15" s="212" t="n">
        <f aca="false">G15</f>
        <v>0</v>
      </c>
      <c r="AY15" s="210" t="e">
        <f aca="false">H15+K15+N15+Q15+T15</f>
        <v>#N/A</v>
      </c>
      <c r="AZ15" s="210" t="e">
        <f aca="false">I15+L15+O15+R15-U15</f>
        <v>#N/A</v>
      </c>
      <c r="BA15" s="210" t="e">
        <f aca="false">J15+M15+P15+S15</f>
        <v>#N/A</v>
      </c>
      <c r="BC15" s="213" t="s">
        <v>128</v>
      </c>
      <c r="BD15" s="213" t="e">
        <f aca="false">AY62</f>
        <v>#N/A</v>
      </c>
      <c r="BF15" s="214" t="e">
        <f aca="false">VLOOKUP(C15-1,mix_electric,3,FALSE())</f>
        <v>#N/A</v>
      </c>
      <c r="BM15" s="95"/>
      <c r="BN15" s="95"/>
    </row>
    <row r="16" customFormat="false" ht="14.4" hidden="false" customHeight="false" outlineLevel="0" collapsed="false">
      <c r="B16" s="204" t="n">
        <v>5</v>
      </c>
      <c r="C16" s="205" t="n">
        <f aca="false">C15+1</f>
        <v>5</v>
      </c>
      <c r="D16" s="206" t="e">
        <f aca="false">VLOOKUP(C16-1,mix_electric,2,FALSE())</f>
        <v>#N/A</v>
      </c>
      <c r="E16" s="207" t="n">
        <f aca="false">'Emissions CO2'!$F$20</f>
        <v>0</v>
      </c>
      <c r="F16" s="207" t="e">
        <f aca="false">'Emissions CO2'!$F$22*IF(B16*$D$6&gt;1,1,B16*$D$6)*D16/'Factors d''emissió'!$C$7</f>
        <v>#N/A</v>
      </c>
      <c r="G16" s="207" t="n">
        <f aca="false">'Emissions CO2'!$F$26*$B$61*IF($D$6*B16&gt;1,0,$D$6)</f>
        <v>0</v>
      </c>
      <c r="H16" s="207" t="e">
        <f aca="false">'Emissions CO2'!$F$36*IF(B16*$D$6&gt;1,1,B16*$D$6)*(D16*'Factors d''emissió'!$C$34+'Factors d''emissió'!$C$35*'Factors d''emissió'!$C$10+'Factors d''emissió'!$C$36*'Factors d''emissió'!$C$11+'Factors d''emissió'!$C$37*'Factors d''emissió'!$C$12)</f>
        <v>#N/A</v>
      </c>
      <c r="I16" s="207" t="e">
        <f aca="false">(('Emissions CO2'!$G$47*D16)+('Emissions CO2'!$G$48*D16))*IF(B16*$D$6&gt;1,1,B16*$D$6)</f>
        <v>#N/A</v>
      </c>
      <c r="J16" s="207" t="e">
        <f aca="false">'Emissions CO2'!$F$61*IF(B16*$D$6&gt;1,1,B16*$D$6)*(1-BF16)/'Factors d''emissió'!$D$73</f>
        <v>#N/A</v>
      </c>
      <c r="K16" s="207" t="e">
        <f aca="false">'Emissions CO2'!$F$37*D16*IF(B16*$D$6&gt;1,1,B16*$D$6)</f>
        <v>#N/A</v>
      </c>
      <c r="L16" s="207" t="e">
        <f aca="false">(('Emissions CO2'!$G$49*D16)+('Emissions CO2'!$G$50*D16))*IF(B16*$D$6&gt;1,1,B16*$D$6)</f>
        <v>#N/A</v>
      </c>
      <c r="M16" s="207" t="e">
        <f aca="false">'Emissions CO2'!$F$62*IF(B16*$D$6&gt;1,1,B16*$D$6)*(1-BF16)/'Factors d''emissió'!$D$73</f>
        <v>#N/A</v>
      </c>
      <c r="N16" s="207" t="e">
        <f aca="false">'Emissions CO2'!$F$38*D16*IF(B16*$D$6&gt;1,1,B16*$D$6)</f>
        <v>#N/A</v>
      </c>
      <c r="O16" s="207" t="e">
        <f aca="false">(('Emissions CO2'!$G$51*D16)+('Emissions CO2'!$G$52*D16))*IF(B16*$D$6&gt;1,1,B16*$D$6)</f>
        <v>#N/A</v>
      </c>
      <c r="P16" s="207" t="e">
        <f aca="false">'Emissions CO2'!$F$63*IF(B16*$D$6&gt;1,1,B16*$D$6)*(1-BF16)/'Factors d''emissió'!$D$73</f>
        <v>#N/A</v>
      </c>
      <c r="Q16" s="207" t="e">
        <f aca="false">'Emissions CO2'!$F$39*IF(B16*$D$6&gt;1,1,B16*$D$6)*(D16*'Factors d''emissió'!$C$41+'Factors d''emissió'!$C$10*'Factors d''emissió'!$C$42+'Factors d''emissió'!$C$11*'Factors d''emissió'!$C$43+'Factors d''emissió'!$C$12*'Factors d''emissió'!$C$44)</f>
        <v>#N/A</v>
      </c>
      <c r="R16" s="207" t="e">
        <f aca="false">(('Emissions CO2'!$G$53*D16)+('Emissions CO2'!$G$54*D16))*IF(B16*$D$6&gt;1,1,B16*$D$6)</f>
        <v>#N/A</v>
      </c>
      <c r="S16" s="207" t="e">
        <f aca="false">'Emissions CO2'!$F$64*IF(B16*$D$6&gt;1,1,B16*$D$6)*(1-BF16)/'Factors d''emissió'!$D$73</f>
        <v>#N/A</v>
      </c>
      <c r="T16" s="208" t="e">
        <f aca="false">'Emissions CO2'!$F$40*D16</f>
        <v>#N/A</v>
      </c>
      <c r="U16" s="207" t="e">
        <f aca="false">(('Fixació CO2'!$F$14+'Fixació CO2'!$F$15)*D16*(1-'Factors d''emissió'!$E$55))*IF(B16*$D$6&gt;1,1,B16*$D$6)</f>
        <v>#N/A</v>
      </c>
      <c r="V16" s="207" t="n">
        <f aca="false">((Dades!$E$131*Dades!$E$130+Dades!$F$131*Dades!$F$130+Dades!$E$139*Dades!$E$138+Dades!$F$139*Dades!$F$138)*1000/20)+'Fixació CO2'!$F$21+'Fixació CO2'!$F$26*IF(B16*$D$6&gt;1,1,B16*$D$6)+(Dades!$F$121*('Factors d''emissió'!$C$154+('Factors d''emissió'!$C$156-'Factors d''emissió'!$C$154)*IF(B16*$D$6&gt;1,1,B16*$D$6))/10)+'Fixació CO2'!$F$22*IF(B16*$D$6&gt;1,1,B16*$D$6)</f>
        <v>0</v>
      </c>
      <c r="W16" s="207" t="e">
        <f aca="false">('Fixació CO2'!$F$40+'Fixació CO2'!$F$41+('Fixació CO2'!$F$39+'Fixació CO2'!$F$47+'Fixació CO2'!$F$48+'Fixació CO2'!$F$49)*IF(B16*$D$6&gt;1,1,B16*$D$6))*D16</f>
        <v>#N/A</v>
      </c>
      <c r="X16" s="207" t="n">
        <f aca="false">SUM('Fixació CO2'!$F$55:$F$57)</f>
        <v>0</v>
      </c>
      <c r="Y16" s="207" t="e">
        <f aca="false">(SUM(E16:T16)-U16)/1000</f>
        <v>#N/A</v>
      </c>
      <c r="Z16" s="207" t="e">
        <f aca="false">(V16+W16+X16)/1000</f>
        <v>#N/A</v>
      </c>
      <c r="AA16" s="207" t="e">
        <f aca="false">Y16-Z16</f>
        <v>#N/A</v>
      </c>
      <c r="AB16" s="207" t="e">
        <f aca="false">AA16*1000/ABS(Dades!$F$7)</f>
        <v>#N/A</v>
      </c>
      <c r="AC16" s="207" t="e">
        <f aca="false">AB16*10</f>
        <v>#N/A</v>
      </c>
      <c r="AD16" s="209"/>
      <c r="AE16" s="210" t="n">
        <f aca="false">C16</f>
        <v>5</v>
      </c>
      <c r="AF16" s="207" t="e">
        <f aca="false">AF15+Y16</f>
        <v>#N/A</v>
      </c>
      <c r="AG16" s="207" t="e">
        <f aca="false">AG15+Z16</f>
        <v>#N/A</v>
      </c>
      <c r="AH16" s="207" t="e">
        <f aca="false">AF16-AG16</f>
        <v>#N/A</v>
      </c>
      <c r="AJ16" s="207" t="e">
        <f aca="false">(SUM(E16:T16)-U16-F16-G16)/1000</f>
        <v>#N/A</v>
      </c>
      <c r="AK16" s="207" t="e">
        <f aca="false">(V16+W16+X16)/1000</f>
        <v>#N/A</v>
      </c>
      <c r="AL16" s="211"/>
      <c r="AM16" s="207" t="e">
        <f aca="false">AJ16-AK16</f>
        <v>#N/A</v>
      </c>
      <c r="AN16" s="207" t="e">
        <f aca="false">AM16*1000/ABS(Dades!$F$7)</f>
        <v>#N/A</v>
      </c>
      <c r="AO16" s="207" t="e">
        <f aca="false">AN16*10</f>
        <v>#N/A</v>
      </c>
      <c r="AQ16" s="207" t="e">
        <f aca="false">AQ15+AJ16</f>
        <v>#N/A</v>
      </c>
      <c r="AR16" s="207" t="e">
        <f aca="false">AR15+AK16</f>
        <v>#N/A</v>
      </c>
      <c r="AS16" s="207" t="e">
        <f aca="false">AQ16-AR16</f>
        <v>#N/A</v>
      </c>
      <c r="AU16" s="210" t="n">
        <f aca="false">C16</f>
        <v>5</v>
      </c>
      <c r="AV16" s="212" t="n">
        <f aca="false">E16</f>
        <v>0</v>
      </c>
      <c r="AW16" s="212" t="e">
        <f aca="false">F16</f>
        <v>#N/A</v>
      </c>
      <c r="AX16" s="212" t="n">
        <f aca="false">G16</f>
        <v>0</v>
      </c>
      <c r="AY16" s="210" t="e">
        <f aca="false">H16+K16+N16+Q16+T16</f>
        <v>#N/A</v>
      </c>
      <c r="AZ16" s="210" t="e">
        <f aca="false">I16+L16+O16+R16-U16</f>
        <v>#N/A</v>
      </c>
      <c r="BA16" s="210" t="e">
        <f aca="false">J16+M16+P16+S16</f>
        <v>#N/A</v>
      </c>
      <c r="BC16" s="213" t="s">
        <v>129</v>
      </c>
      <c r="BD16" s="213" t="e">
        <f aca="false">AZ62</f>
        <v>#N/A</v>
      </c>
      <c r="BF16" s="214" t="e">
        <f aca="false">VLOOKUP(C16-1,mix_electric,3,FALSE())</f>
        <v>#N/A</v>
      </c>
      <c r="BM16" s="95"/>
      <c r="BN16" s="95"/>
    </row>
    <row r="17" customFormat="false" ht="14.4" hidden="false" customHeight="false" outlineLevel="0" collapsed="false">
      <c r="B17" s="204" t="n">
        <v>6</v>
      </c>
      <c r="C17" s="205" t="n">
        <f aca="false">C16+1</f>
        <v>6</v>
      </c>
      <c r="D17" s="206" t="e">
        <f aca="false">VLOOKUP(C17-1,mix_electric,2,FALSE())</f>
        <v>#N/A</v>
      </c>
      <c r="E17" s="207" t="n">
        <f aca="false">'Emissions CO2'!$F$20</f>
        <v>0</v>
      </c>
      <c r="F17" s="207" t="e">
        <f aca="false">'Emissions CO2'!$F$22*IF(B17*$D$6&gt;1,1,B17*$D$6)*D17/'Factors d''emissió'!$C$7</f>
        <v>#N/A</v>
      </c>
      <c r="G17" s="207" t="n">
        <f aca="false">'Emissions CO2'!$F$26*$B$61*IF($D$6*B17&gt;1,0,$D$6)</f>
        <v>0</v>
      </c>
      <c r="H17" s="207" t="e">
        <f aca="false">'Emissions CO2'!$F$36*IF(B17*$D$6&gt;1,1,B17*$D$6)*(D17*'Factors d''emissió'!$C$34+'Factors d''emissió'!$C$35*'Factors d''emissió'!$C$10+'Factors d''emissió'!$C$36*'Factors d''emissió'!$C$11+'Factors d''emissió'!$C$37*'Factors d''emissió'!$C$12)</f>
        <v>#N/A</v>
      </c>
      <c r="I17" s="207" t="e">
        <f aca="false">(('Emissions CO2'!$G$47*D17)+('Emissions CO2'!$G$48*D17))*IF(B17*$D$6&gt;1,1,B17*$D$6)</f>
        <v>#N/A</v>
      </c>
      <c r="J17" s="207" t="e">
        <f aca="false">'Emissions CO2'!$F$61*IF(B17*$D$6&gt;1,1,B17*$D$6)*(1-BF17)/'Factors d''emissió'!$D$73</f>
        <v>#N/A</v>
      </c>
      <c r="K17" s="207" t="e">
        <f aca="false">'Emissions CO2'!$F$37*D17*IF(B17*$D$6&gt;1,1,B17*$D$6)</f>
        <v>#N/A</v>
      </c>
      <c r="L17" s="207" t="e">
        <f aca="false">(('Emissions CO2'!$G$49*D17)+('Emissions CO2'!$G$50*D17))*IF(B17*$D$6&gt;1,1,B17*$D$6)</f>
        <v>#N/A</v>
      </c>
      <c r="M17" s="207" t="e">
        <f aca="false">'Emissions CO2'!$F$62*IF(B17*$D$6&gt;1,1,B17*$D$6)*(1-BF17)/'Factors d''emissió'!$D$73</f>
        <v>#N/A</v>
      </c>
      <c r="N17" s="207" t="e">
        <f aca="false">'Emissions CO2'!$F$38*D17*IF(B17*$D$6&gt;1,1,B17*$D$6)</f>
        <v>#N/A</v>
      </c>
      <c r="O17" s="207" t="e">
        <f aca="false">(('Emissions CO2'!$G$51*D17)+('Emissions CO2'!$G$52*D17))*IF(B17*$D$6&gt;1,1,B17*$D$6)</f>
        <v>#N/A</v>
      </c>
      <c r="P17" s="207" t="e">
        <f aca="false">'Emissions CO2'!$F$63*IF(B17*$D$6&gt;1,1,B17*$D$6)*(1-BF17)/'Factors d''emissió'!$D$73</f>
        <v>#N/A</v>
      </c>
      <c r="Q17" s="207" t="e">
        <f aca="false">'Emissions CO2'!$F$39*IF(B17*$D$6&gt;1,1,B17*$D$6)*(D17*'Factors d''emissió'!$C$41+'Factors d''emissió'!$C$10*'Factors d''emissió'!$C$42+'Factors d''emissió'!$C$11*'Factors d''emissió'!$C$43+'Factors d''emissió'!$C$12*'Factors d''emissió'!$C$44)</f>
        <v>#N/A</v>
      </c>
      <c r="R17" s="207" t="e">
        <f aca="false">(('Emissions CO2'!$G$53*D17)+('Emissions CO2'!$G$54*D17))*IF(B17*$D$6&gt;1,1,B17*$D$6)</f>
        <v>#N/A</v>
      </c>
      <c r="S17" s="207" t="e">
        <f aca="false">'Emissions CO2'!$F$64*IF(B17*$D$6&gt;1,1,B17*$D$6)*(1-BF17)/'Factors d''emissió'!$D$73</f>
        <v>#N/A</v>
      </c>
      <c r="T17" s="208" t="e">
        <f aca="false">'Emissions CO2'!$F$40*D17</f>
        <v>#N/A</v>
      </c>
      <c r="U17" s="207" t="e">
        <f aca="false">(('Fixació CO2'!$F$14+'Fixació CO2'!$F$15)*D17*(1-'Factors d''emissió'!$E$55))*IF(B17*$D$6&gt;1,1,B17*$D$6)</f>
        <v>#N/A</v>
      </c>
      <c r="V17" s="207" t="n">
        <f aca="false">((Dades!$E$131*Dades!$E$130+Dades!$F$131*Dades!$F$130+Dades!$E$139*Dades!$E$138+Dades!$F$139*Dades!$F$138)*1000/20)+'Fixació CO2'!$F$21+'Fixació CO2'!$F$26*IF(B17*$D$6&gt;1,1,B17*$D$6)+(Dades!$F$121*('Factors d''emissió'!$C$154+('Factors d''emissió'!$C$156-'Factors d''emissió'!$C$154)*IF(B17*$D$6&gt;1,1,B17*$D$6))/10)+'Fixació CO2'!$F$22*IF(B17*$D$6&gt;1,1,B17*$D$6)</f>
        <v>0</v>
      </c>
      <c r="W17" s="207" t="e">
        <f aca="false">('Fixació CO2'!$F$40+'Fixació CO2'!$F$41+('Fixació CO2'!$F$39+'Fixació CO2'!$F$47+'Fixació CO2'!$F$48+'Fixació CO2'!$F$49)*IF(B17*$D$6&gt;1,1,B17*$D$6))*D17</f>
        <v>#N/A</v>
      </c>
      <c r="X17" s="207" t="n">
        <f aca="false">SUM('Fixació CO2'!$F$55:$F$57)</f>
        <v>0</v>
      </c>
      <c r="Y17" s="207" t="e">
        <f aca="false">(SUM(E17:T17)-U17)/1000</f>
        <v>#N/A</v>
      </c>
      <c r="Z17" s="207" t="e">
        <f aca="false">(V17+W17+X17)/1000</f>
        <v>#N/A</v>
      </c>
      <c r="AA17" s="207" t="e">
        <f aca="false">Y17-Z17</f>
        <v>#N/A</v>
      </c>
      <c r="AB17" s="207" t="e">
        <f aca="false">AA17*1000/ABS(Dades!$F$7)</f>
        <v>#N/A</v>
      </c>
      <c r="AC17" s="207" t="e">
        <f aca="false">AB17*10</f>
        <v>#N/A</v>
      </c>
      <c r="AD17" s="209"/>
      <c r="AE17" s="210" t="n">
        <f aca="false">C17</f>
        <v>6</v>
      </c>
      <c r="AF17" s="207" t="e">
        <f aca="false">AF16+Y17</f>
        <v>#N/A</v>
      </c>
      <c r="AG17" s="207" t="e">
        <f aca="false">AG16+Z17</f>
        <v>#N/A</v>
      </c>
      <c r="AH17" s="207" t="e">
        <f aca="false">AF17-AG17</f>
        <v>#N/A</v>
      </c>
      <c r="AJ17" s="207" t="e">
        <f aca="false">(SUM(E17:T17)-U17-F17-G17)/1000</f>
        <v>#N/A</v>
      </c>
      <c r="AK17" s="207" t="e">
        <f aca="false">(V17+W17+X17)/1000</f>
        <v>#N/A</v>
      </c>
      <c r="AL17" s="211"/>
      <c r="AM17" s="207" t="e">
        <f aca="false">AJ17-AK17</f>
        <v>#N/A</v>
      </c>
      <c r="AN17" s="207" t="e">
        <f aca="false">AM17*1000/ABS(Dades!$F$7)</f>
        <v>#N/A</v>
      </c>
      <c r="AO17" s="207" t="e">
        <f aca="false">AN17*10</f>
        <v>#N/A</v>
      </c>
      <c r="AQ17" s="207" t="e">
        <f aca="false">AQ16+AJ17</f>
        <v>#N/A</v>
      </c>
      <c r="AR17" s="207" t="e">
        <f aca="false">AR16+AK17</f>
        <v>#N/A</v>
      </c>
      <c r="AS17" s="207" t="e">
        <f aca="false">AQ17-AR17</f>
        <v>#N/A</v>
      </c>
      <c r="AU17" s="210" t="n">
        <f aca="false">C17</f>
        <v>6</v>
      </c>
      <c r="AV17" s="212" t="n">
        <f aca="false">E17</f>
        <v>0</v>
      </c>
      <c r="AW17" s="212" t="e">
        <f aca="false">F17</f>
        <v>#N/A</v>
      </c>
      <c r="AX17" s="212" t="n">
        <f aca="false">G17</f>
        <v>0</v>
      </c>
      <c r="AY17" s="210" t="e">
        <f aca="false">H17+K17+N17+Q17+T17</f>
        <v>#N/A</v>
      </c>
      <c r="AZ17" s="210" t="e">
        <f aca="false">I17+L17+O17+R17-U17</f>
        <v>#N/A</v>
      </c>
      <c r="BA17" s="210" t="e">
        <f aca="false">J17+M17+P17+S17</f>
        <v>#N/A</v>
      </c>
      <c r="BC17" s="213" t="s">
        <v>130</v>
      </c>
      <c r="BD17" s="213" t="e">
        <f aca="false">BA62</f>
        <v>#N/A</v>
      </c>
      <c r="BF17" s="214" t="e">
        <f aca="false">VLOOKUP(C17-1,mix_electric,3,FALSE())</f>
        <v>#N/A</v>
      </c>
      <c r="BM17" s="95"/>
      <c r="BN17" s="95"/>
    </row>
    <row r="18" customFormat="false" ht="14.4" hidden="false" customHeight="false" outlineLevel="0" collapsed="false">
      <c r="B18" s="204" t="n">
        <v>7</v>
      </c>
      <c r="C18" s="205" t="n">
        <f aca="false">C17+1</f>
        <v>7</v>
      </c>
      <c r="D18" s="206" t="e">
        <f aca="false">VLOOKUP(C18-1,mix_electric,2,FALSE())</f>
        <v>#N/A</v>
      </c>
      <c r="E18" s="207" t="n">
        <f aca="false">'Emissions CO2'!$F$20</f>
        <v>0</v>
      </c>
      <c r="F18" s="207" t="e">
        <f aca="false">'Emissions CO2'!$F$22*IF(B18*$D$6&gt;1,1,B18*$D$6)*D18/'Factors d''emissió'!$C$7</f>
        <v>#N/A</v>
      </c>
      <c r="G18" s="207" t="n">
        <f aca="false">'Emissions CO2'!$F$26*$B$61*IF($D$6*B18&gt;1,0,$D$6)</f>
        <v>0</v>
      </c>
      <c r="H18" s="207" t="e">
        <f aca="false">'Emissions CO2'!$F$36*IF(B18*$D$6&gt;1,1,B18*$D$6)*(D18*'Factors d''emissió'!$C$34+'Factors d''emissió'!$C$35*'Factors d''emissió'!$C$10+'Factors d''emissió'!$C$36*'Factors d''emissió'!$C$11+'Factors d''emissió'!$C$37*'Factors d''emissió'!$C$12)</f>
        <v>#N/A</v>
      </c>
      <c r="I18" s="207" t="e">
        <f aca="false">(('Emissions CO2'!$G$47*D18)+('Emissions CO2'!$G$48*D18))*IF(B18*$D$6&gt;1,1,B18*$D$6)</f>
        <v>#N/A</v>
      </c>
      <c r="J18" s="207" t="e">
        <f aca="false">'Emissions CO2'!$F$61*IF(B18*$D$6&gt;1,1,B18*$D$6)*(1-BF18)/'Factors d''emissió'!$D$73</f>
        <v>#N/A</v>
      </c>
      <c r="K18" s="207" t="e">
        <f aca="false">'Emissions CO2'!$F$37*D18*IF(B18*$D$6&gt;1,1,B18*$D$6)</f>
        <v>#N/A</v>
      </c>
      <c r="L18" s="207" t="e">
        <f aca="false">(('Emissions CO2'!$G$49*D18)+('Emissions CO2'!$G$50*D18))*IF(B18*$D$6&gt;1,1,B18*$D$6)</f>
        <v>#N/A</v>
      </c>
      <c r="M18" s="207" t="e">
        <f aca="false">'Emissions CO2'!$F$62*IF(B18*$D$6&gt;1,1,B18*$D$6)*(1-BF18)/'Factors d''emissió'!$D$73</f>
        <v>#N/A</v>
      </c>
      <c r="N18" s="207" t="e">
        <f aca="false">'Emissions CO2'!$F$38*D18*IF(B18*$D$6&gt;1,1,B18*$D$6)</f>
        <v>#N/A</v>
      </c>
      <c r="O18" s="207" t="e">
        <f aca="false">(('Emissions CO2'!$G$51*D18)+('Emissions CO2'!$G$52*D18))*IF(B18*$D$6&gt;1,1,B18*$D$6)</f>
        <v>#N/A</v>
      </c>
      <c r="P18" s="207" t="e">
        <f aca="false">'Emissions CO2'!$F$63*IF(B18*$D$6&gt;1,1,B18*$D$6)*(1-BF18)/'Factors d''emissió'!$D$73</f>
        <v>#N/A</v>
      </c>
      <c r="Q18" s="207" t="e">
        <f aca="false">'Emissions CO2'!$F$39*IF(B18*$D$6&gt;1,1,B18*$D$6)*(D18*'Factors d''emissió'!$C$41+'Factors d''emissió'!$C$10*'Factors d''emissió'!$C$42+'Factors d''emissió'!$C$11*'Factors d''emissió'!$C$43+'Factors d''emissió'!$C$12*'Factors d''emissió'!$C$44)</f>
        <v>#N/A</v>
      </c>
      <c r="R18" s="207" t="e">
        <f aca="false">(('Emissions CO2'!$G$53*D18)+('Emissions CO2'!$G$54*D18))*IF(B18*$D$6&gt;1,1,B18*$D$6)</f>
        <v>#N/A</v>
      </c>
      <c r="S18" s="207" t="e">
        <f aca="false">'Emissions CO2'!$F$64*IF(B18*$D$6&gt;1,1,B18*$D$6)*(1-BF18)/'Factors d''emissió'!$D$73</f>
        <v>#N/A</v>
      </c>
      <c r="T18" s="208" t="e">
        <f aca="false">'Emissions CO2'!$F$40*D18</f>
        <v>#N/A</v>
      </c>
      <c r="U18" s="207" t="e">
        <f aca="false">(('Fixació CO2'!$F$14+'Fixació CO2'!$F$15)*D18*(1-'Factors d''emissió'!$E$55))*IF(B18*$D$6&gt;1,1,B18*$D$6)</f>
        <v>#N/A</v>
      </c>
      <c r="V18" s="207" t="n">
        <f aca="false">((Dades!$E$131*Dades!$E$130+Dades!$F$131*Dades!$F$130+Dades!$E$139*Dades!$E$138+Dades!$F$139*Dades!$F$138)*1000/20)+'Fixació CO2'!$F$21+'Fixació CO2'!$F$26*IF(B18*$D$6&gt;1,1,B18*$D$6)+(Dades!$F$121*('Factors d''emissió'!$C$154+('Factors d''emissió'!$C$156-'Factors d''emissió'!$C$154)*IF(B18*$D$6&gt;1,1,B18*$D$6))/10)+'Fixació CO2'!$F$22*IF(B18*$D$6&gt;1,1,B18*$D$6)</f>
        <v>0</v>
      </c>
      <c r="W18" s="207" t="e">
        <f aca="false">('Fixació CO2'!$F$40+'Fixació CO2'!$F$41+('Fixació CO2'!$F$39+'Fixació CO2'!$F$47+'Fixació CO2'!$F$48+'Fixació CO2'!$F$49)*IF(B18*$D$6&gt;1,1,B18*$D$6))*D18</f>
        <v>#N/A</v>
      </c>
      <c r="X18" s="207" t="n">
        <f aca="false">SUM('Fixació CO2'!$F$55:$F$57)</f>
        <v>0</v>
      </c>
      <c r="Y18" s="207" t="e">
        <f aca="false">(SUM(E18:T18)-U18)/1000</f>
        <v>#N/A</v>
      </c>
      <c r="Z18" s="207" t="e">
        <f aca="false">(V18+W18+X18)/1000</f>
        <v>#N/A</v>
      </c>
      <c r="AA18" s="207" t="e">
        <f aca="false">Y18-Z18</f>
        <v>#N/A</v>
      </c>
      <c r="AB18" s="207" t="e">
        <f aca="false">AA18*1000/ABS(Dades!$F$7)</f>
        <v>#N/A</v>
      </c>
      <c r="AC18" s="207" t="e">
        <f aca="false">AB18*10</f>
        <v>#N/A</v>
      </c>
      <c r="AD18" s="209"/>
      <c r="AE18" s="210" t="n">
        <f aca="false">C18</f>
        <v>7</v>
      </c>
      <c r="AF18" s="207" t="e">
        <f aca="false">AF17+Y18</f>
        <v>#N/A</v>
      </c>
      <c r="AG18" s="207" t="e">
        <f aca="false">AG17+Z18</f>
        <v>#N/A</v>
      </c>
      <c r="AH18" s="207" t="e">
        <f aca="false">AF18-AG18</f>
        <v>#N/A</v>
      </c>
      <c r="AJ18" s="207" t="e">
        <f aca="false">(SUM(E18:T18)-U18-F18-G18)/1000</f>
        <v>#N/A</v>
      </c>
      <c r="AK18" s="207" t="e">
        <f aca="false">(V18+W18+X18)/1000</f>
        <v>#N/A</v>
      </c>
      <c r="AL18" s="211"/>
      <c r="AM18" s="207" t="e">
        <f aca="false">AJ18-AK18</f>
        <v>#N/A</v>
      </c>
      <c r="AN18" s="207" t="e">
        <f aca="false">AM18*1000/ABS(Dades!$F$7)</f>
        <v>#N/A</v>
      </c>
      <c r="AO18" s="207" t="e">
        <f aca="false">AN18*10</f>
        <v>#N/A</v>
      </c>
      <c r="AQ18" s="207" t="e">
        <f aca="false">AQ17+AJ18</f>
        <v>#N/A</v>
      </c>
      <c r="AR18" s="207" t="e">
        <f aca="false">AR17+AK18</f>
        <v>#N/A</v>
      </c>
      <c r="AS18" s="207" t="e">
        <f aca="false">AQ18-AR18</f>
        <v>#N/A</v>
      </c>
      <c r="AU18" s="210" t="n">
        <f aca="false">C18</f>
        <v>7</v>
      </c>
      <c r="AV18" s="212" t="n">
        <f aca="false">E18</f>
        <v>0</v>
      </c>
      <c r="AW18" s="212" t="e">
        <f aca="false">F18</f>
        <v>#N/A</v>
      </c>
      <c r="AX18" s="212" t="n">
        <f aca="false">G18</f>
        <v>0</v>
      </c>
      <c r="AY18" s="210" t="e">
        <f aca="false">H18+K18+N18+Q18+T18</f>
        <v>#N/A</v>
      </c>
      <c r="AZ18" s="210" t="e">
        <f aca="false">I18+L18+O18+R18-U18</f>
        <v>#N/A</v>
      </c>
      <c r="BA18" s="210" t="e">
        <f aca="false">J18+M18+P18+S18</f>
        <v>#N/A</v>
      </c>
      <c r="BF18" s="214" t="e">
        <f aca="false">VLOOKUP(C18-1,mix_electric,3,FALSE())</f>
        <v>#N/A</v>
      </c>
    </row>
    <row r="19" customFormat="false" ht="14.4" hidden="false" customHeight="false" outlineLevel="0" collapsed="false">
      <c r="B19" s="204" t="n">
        <v>8</v>
      </c>
      <c r="C19" s="205" t="n">
        <f aca="false">C18+1</f>
        <v>8</v>
      </c>
      <c r="D19" s="206" t="e">
        <f aca="false">VLOOKUP(C19-1,mix_electric,2,FALSE())</f>
        <v>#N/A</v>
      </c>
      <c r="E19" s="207" t="n">
        <f aca="false">'Emissions CO2'!$F$20</f>
        <v>0</v>
      </c>
      <c r="F19" s="207" t="e">
        <f aca="false">'Emissions CO2'!$F$22*IF(B19*$D$6&gt;1,1,B19*$D$6)*D19/'Factors d''emissió'!$C$7</f>
        <v>#N/A</v>
      </c>
      <c r="G19" s="207" t="n">
        <f aca="false">'Emissions CO2'!$F$26*$B$61*IF($D$6*B19&gt;1,0,$D$6)</f>
        <v>0</v>
      </c>
      <c r="H19" s="207" t="e">
        <f aca="false">'Emissions CO2'!$F$36*IF(B19*$D$6&gt;1,1,B19*$D$6)*(D19*'Factors d''emissió'!$C$34+'Factors d''emissió'!$C$35*'Factors d''emissió'!$C$10+'Factors d''emissió'!$C$36*'Factors d''emissió'!$C$11+'Factors d''emissió'!$C$37*'Factors d''emissió'!$C$12)</f>
        <v>#N/A</v>
      </c>
      <c r="I19" s="207" t="e">
        <f aca="false">(('Emissions CO2'!$G$47*D19)+('Emissions CO2'!$G$48*D19))*IF(B19*$D$6&gt;1,1,B19*$D$6)</f>
        <v>#N/A</v>
      </c>
      <c r="J19" s="207" t="e">
        <f aca="false">'Emissions CO2'!$F$61*IF(B19*$D$6&gt;1,1,B19*$D$6)*(1-BF19)/'Factors d''emissió'!$D$73</f>
        <v>#N/A</v>
      </c>
      <c r="K19" s="207" t="e">
        <f aca="false">'Emissions CO2'!$F$37*D19*IF(B19*$D$6&gt;1,1,B19*$D$6)</f>
        <v>#N/A</v>
      </c>
      <c r="L19" s="207" t="e">
        <f aca="false">(('Emissions CO2'!$G$49*D19)+('Emissions CO2'!$G$50*D19))*IF(B19*$D$6&gt;1,1,B19*$D$6)</f>
        <v>#N/A</v>
      </c>
      <c r="M19" s="207" t="e">
        <f aca="false">'Emissions CO2'!$F$62*IF(B19*$D$6&gt;1,1,B19*$D$6)*(1-BF19)/'Factors d''emissió'!$D$73</f>
        <v>#N/A</v>
      </c>
      <c r="N19" s="207" t="e">
        <f aca="false">'Emissions CO2'!$F$38*D19*IF(B19*$D$6&gt;1,1,B19*$D$6)</f>
        <v>#N/A</v>
      </c>
      <c r="O19" s="207" t="e">
        <f aca="false">(('Emissions CO2'!$G$51*D19)+('Emissions CO2'!$G$52*D19))*IF(B19*$D$6&gt;1,1,B19*$D$6)</f>
        <v>#N/A</v>
      </c>
      <c r="P19" s="207" t="e">
        <f aca="false">'Emissions CO2'!$F$63*IF(B19*$D$6&gt;1,1,B19*$D$6)*(1-BF19)/'Factors d''emissió'!$D$73</f>
        <v>#N/A</v>
      </c>
      <c r="Q19" s="207" t="e">
        <f aca="false">'Emissions CO2'!$F$39*IF(B19*$D$6&gt;1,1,B19*$D$6)*(D19*'Factors d''emissió'!$C$41+'Factors d''emissió'!$C$10*'Factors d''emissió'!$C$42+'Factors d''emissió'!$C$11*'Factors d''emissió'!$C$43+'Factors d''emissió'!$C$12*'Factors d''emissió'!$C$44)</f>
        <v>#N/A</v>
      </c>
      <c r="R19" s="207" t="e">
        <f aca="false">(('Emissions CO2'!$G$53*D19)+('Emissions CO2'!$G$54*D19))*IF(B19*$D$6&gt;1,1,B19*$D$6)</f>
        <v>#N/A</v>
      </c>
      <c r="S19" s="207" t="e">
        <f aca="false">'Emissions CO2'!$F$64*IF(B19*$D$6&gt;1,1,B19*$D$6)*(1-BF19)/'Factors d''emissió'!$D$73</f>
        <v>#N/A</v>
      </c>
      <c r="T19" s="208" t="e">
        <f aca="false">'Emissions CO2'!$F$40*D19</f>
        <v>#N/A</v>
      </c>
      <c r="U19" s="207" t="e">
        <f aca="false">(('Fixació CO2'!$F$14+'Fixació CO2'!$F$15)*D19*(1-'Factors d''emissió'!$E$55))*IF(B19*$D$6&gt;1,1,B19*$D$6)</f>
        <v>#N/A</v>
      </c>
      <c r="V19" s="207" t="n">
        <f aca="false">((Dades!$E$131*Dades!$E$130+Dades!$F$131*Dades!$F$130+Dades!$E$139*Dades!$E$138+Dades!$F$139*Dades!$F$138)*1000/20)+'Fixació CO2'!$F$21+'Fixació CO2'!$F$26*IF(B19*$D$6&gt;1,1,B19*$D$6)+(Dades!$F$121*('Factors d''emissió'!$C$154+('Factors d''emissió'!$C$156-'Factors d''emissió'!$C$154)*IF(B19*$D$6&gt;1,1,B19*$D$6))/10)+'Fixació CO2'!$F$22*IF(B19*$D$6&gt;1,1,B19*$D$6)</f>
        <v>0</v>
      </c>
      <c r="W19" s="207" t="e">
        <f aca="false">('Fixació CO2'!$F$40+'Fixació CO2'!$F$41+('Fixació CO2'!$F$39+'Fixació CO2'!$F$47+'Fixació CO2'!$F$48+'Fixació CO2'!$F$49)*IF(B19*$D$6&gt;1,1,B19*$D$6))*D19</f>
        <v>#N/A</v>
      </c>
      <c r="X19" s="207" t="n">
        <f aca="false">SUM('Fixació CO2'!$F$55:$F$57)</f>
        <v>0</v>
      </c>
      <c r="Y19" s="207" t="e">
        <f aca="false">(SUM(E19:T19)-U19)/1000</f>
        <v>#N/A</v>
      </c>
      <c r="Z19" s="207" t="e">
        <f aca="false">(V19+W19+X19)/1000</f>
        <v>#N/A</v>
      </c>
      <c r="AA19" s="207" t="e">
        <f aca="false">Y19-Z19</f>
        <v>#N/A</v>
      </c>
      <c r="AB19" s="207" t="e">
        <f aca="false">AA19*1000/ABS(Dades!$F$7)</f>
        <v>#N/A</v>
      </c>
      <c r="AC19" s="207" t="e">
        <f aca="false">AB19*10</f>
        <v>#N/A</v>
      </c>
      <c r="AD19" s="209"/>
      <c r="AE19" s="210" t="n">
        <f aca="false">C19</f>
        <v>8</v>
      </c>
      <c r="AF19" s="207" t="e">
        <f aca="false">AF18+Y19</f>
        <v>#N/A</v>
      </c>
      <c r="AG19" s="207" t="e">
        <f aca="false">AG18+Z19</f>
        <v>#N/A</v>
      </c>
      <c r="AH19" s="207" t="e">
        <f aca="false">AF19-AG19</f>
        <v>#N/A</v>
      </c>
      <c r="AJ19" s="207" t="e">
        <f aca="false">(SUM(E19:T19)-U19-F19-G19)/1000</f>
        <v>#N/A</v>
      </c>
      <c r="AK19" s="207" t="e">
        <f aca="false">(V19+W19+X19)/1000</f>
        <v>#N/A</v>
      </c>
      <c r="AL19" s="211"/>
      <c r="AM19" s="207" t="e">
        <f aca="false">AJ19-AK19</f>
        <v>#N/A</v>
      </c>
      <c r="AN19" s="207" t="e">
        <f aca="false">AM19*1000/ABS(Dades!$F$7)</f>
        <v>#N/A</v>
      </c>
      <c r="AO19" s="207" t="e">
        <f aca="false">AN19*10</f>
        <v>#N/A</v>
      </c>
      <c r="AQ19" s="207" t="e">
        <f aca="false">AQ18+AJ19</f>
        <v>#N/A</v>
      </c>
      <c r="AR19" s="207" t="e">
        <f aca="false">AR18+AK19</f>
        <v>#N/A</v>
      </c>
      <c r="AS19" s="207" t="e">
        <f aca="false">AQ19-AR19</f>
        <v>#N/A</v>
      </c>
      <c r="AU19" s="210" t="n">
        <f aca="false">C19</f>
        <v>8</v>
      </c>
      <c r="AV19" s="212" t="n">
        <f aca="false">E19</f>
        <v>0</v>
      </c>
      <c r="AW19" s="212" t="e">
        <f aca="false">F19</f>
        <v>#N/A</v>
      </c>
      <c r="AX19" s="212" t="n">
        <f aca="false">G19</f>
        <v>0</v>
      </c>
      <c r="AY19" s="210" t="e">
        <f aca="false">H19+K19+N19+Q19+T19</f>
        <v>#N/A</v>
      </c>
      <c r="AZ19" s="210" t="e">
        <f aca="false">I19+L19+O19+R19-U19</f>
        <v>#N/A</v>
      </c>
      <c r="BA19" s="210" t="e">
        <f aca="false">J19+M19+P19+S19</f>
        <v>#N/A</v>
      </c>
      <c r="BF19" s="214" t="e">
        <f aca="false">VLOOKUP(C19-1,mix_electric,3,FALSE())</f>
        <v>#N/A</v>
      </c>
    </row>
    <row r="20" customFormat="false" ht="14.4" hidden="false" customHeight="false" outlineLevel="0" collapsed="false">
      <c r="B20" s="204" t="n">
        <v>9</v>
      </c>
      <c r="C20" s="205" t="n">
        <f aca="false">C19+1</f>
        <v>9</v>
      </c>
      <c r="D20" s="206" t="e">
        <f aca="false">VLOOKUP(C20-1,mix_electric,2,FALSE())</f>
        <v>#N/A</v>
      </c>
      <c r="E20" s="207" t="n">
        <f aca="false">'Emissions CO2'!$F$20</f>
        <v>0</v>
      </c>
      <c r="F20" s="207" t="e">
        <f aca="false">'Emissions CO2'!$F$22*IF(B20*$D$6&gt;1,1,B20*$D$6)*D20/'Factors d''emissió'!$C$7</f>
        <v>#N/A</v>
      </c>
      <c r="G20" s="207" t="n">
        <f aca="false">'Emissions CO2'!$F$26*$B$61*IF($D$6*B20&gt;1,0,$D$6)</f>
        <v>0</v>
      </c>
      <c r="H20" s="207" t="e">
        <f aca="false">'Emissions CO2'!$F$36*IF(B20*$D$6&gt;1,1,B20*$D$6)*(D20*'Factors d''emissió'!$C$34+'Factors d''emissió'!$C$35*'Factors d''emissió'!$C$10+'Factors d''emissió'!$C$36*'Factors d''emissió'!$C$11+'Factors d''emissió'!$C$37*'Factors d''emissió'!$C$12)</f>
        <v>#N/A</v>
      </c>
      <c r="I20" s="207" t="e">
        <f aca="false">(('Emissions CO2'!$G$47*D20)+('Emissions CO2'!$G$48*D20))*IF(B20*$D$6&gt;1,1,B20*$D$6)</f>
        <v>#N/A</v>
      </c>
      <c r="J20" s="207" t="e">
        <f aca="false">'Emissions CO2'!$F$61*IF(B20*$D$6&gt;1,1,B20*$D$6)*(1-BF20)/'Factors d''emissió'!$D$73</f>
        <v>#N/A</v>
      </c>
      <c r="K20" s="207" t="e">
        <f aca="false">'Emissions CO2'!$F$37*D20*IF(B20*$D$6&gt;1,1,B20*$D$6)</f>
        <v>#N/A</v>
      </c>
      <c r="L20" s="207" t="e">
        <f aca="false">(('Emissions CO2'!$G$49*D20)+('Emissions CO2'!$G$50*D20))*IF(B20*$D$6&gt;1,1,B20*$D$6)</f>
        <v>#N/A</v>
      </c>
      <c r="M20" s="207" t="e">
        <f aca="false">'Emissions CO2'!$F$62*IF(B20*$D$6&gt;1,1,B20*$D$6)*(1-BF20)/'Factors d''emissió'!$D$73</f>
        <v>#N/A</v>
      </c>
      <c r="N20" s="207" t="e">
        <f aca="false">'Emissions CO2'!$F$38*D20*IF(B20*$D$6&gt;1,1,B20*$D$6)</f>
        <v>#N/A</v>
      </c>
      <c r="O20" s="207" t="e">
        <f aca="false">(('Emissions CO2'!$G$51*D20)+('Emissions CO2'!$G$52*D20))*IF(B20*$D$6&gt;1,1,B20*$D$6)</f>
        <v>#N/A</v>
      </c>
      <c r="P20" s="207" t="e">
        <f aca="false">'Emissions CO2'!$F$63*IF(B20*$D$6&gt;1,1,B20*$D$6)*(1-BF20)/'Factors d''emissió'!$D$73</f>
        <v>#N/A</v>
      </c>
      <c r="Q20" s="207" t="e">
        <f aca="false">'Emissions CO2'!$F$39*IF(B20*$D$6&gt;1,1,B20*$D$6)*(D20*'Factors d''emissió'!$C$41+'Factors d''emissió'!$C$10*'Factors d''emissió'!$C$42+'Factors d''emissió'!$C$11*'Factors d''emissió'!$C$43+'Factors d''emissió'!$C$12*'Factors d''emissió'!$C$44)</f>
        <v>#N/A</v>
      </c>
      <c r="R20" s="207" t="e">
        <f aca="false">(('Emissions CO2'!$G$53*D20)+('Emissions CO2'!$G$54*D20))*IF(B20*$D$6&gt;1,1,B20*$D$6)</f>
        <v>#N/A</v>
      </c>
      <c r="S20" s="207" t="e">
        <f aca="false">'Emissions CO2'!$F$64*IF(B20*$D$6&gt;1,1,B20*$D$6)*(1-BF20)/'Factors d''emissió'!$D$73</f>
        <v>#N/A</v>
      </c>
      <c r="T20" s="208" t="e">
        <f aca="false">'Emissions CO2'!$F$40*D20</f>
        <v>#N/A</v>
      </c>
      <c r="U20" s="207" t="e">
        <f aca="false">(('Fixació CO2'!$F$14+'Fixació CO2'!$F$15)*D20*(1-'Factors d''emissió'!$E$55))*IF(B20*$D$6&gt;1,1,B20*$D$6)</f>
        <v>#N/A</v>
      </c>
      <c r="V20" s="207" t="n">
        <f aca="false">((Dades!$E$131*Dades!$E$130+Dades!$F$131*Dades!$F$130+Dades!$E$139*Dades!$E$138+Dades!$F$139*Dades!$F$138)*1000/20)+'Fixació CO2'!$F$21+'Fixació CO2'!$F$26*IF(B20*$D$6&gt;1,1,B20*$D$6)+(Dades!$F$121*('Factors d''emissió'!$C$154+('Factors d''emissió'!$C$156-'Factors d''emissió'!$C$154)*IF(B20*$D$6&gt;1,1,B20*$D$6))/10)+'Fixació CO2'!$F$22*IF(B20*$D$6&gt;1,1,B20*$D$6)</f>
        <v>0</v>
      </c>
      <c r="W20" s="207" t="e">
        <f aca="false">('Fixació CO2'!$F$40+'Fixació CO2'!$F$41+('Fixació CO2'!$F$39+'Fixació CO2'!$F$47+'Fixació CO2'!$F$48+'Fixació CO2'!$F$49)*IF(B20*$D$6&gt;1,1,B20*$D$6))*D20</f>
        <v>#N/A</v>
      </c>
      <c r="X20" s="207" t="n">
        <f aca="false">SUM('Fixació CO2'!$F$55:$F$57)</f>
        <v>0</v>
      </c>
      <c r="Y20" s="207" t="e">
        <f aca="false">(SUM(E20:T20)-U20)/1000</f>
        <v>#N/A</v>
      </c>
      <c r="Z20" s="207" t="e">
        <f aca="false">(V20+W20+X20)/1000</f>
        <v>#N/A</v>
      </c>
      <c r="AA20" s="207" t="e">
        <f aca="false">Y20-Z20</f>
        <v>#N/A</v>
      </c>
      <c r="AB20" s="207" t="e">
        <f aca="false">AA20*1000/ABS(Dades!$F$7)</f>
        <v>#N/A</v>
      </c>
      <c r="AC20" s="207" t="e">
        <f aca="false">AB20*10</f>
        <v>#N/A</v>
      </c>
      <c r="AD20" s="209"/>
      <c r="AE20" s="210" t="n">
        <f aca="false">C20</f>
        <v>9</v>
      </c>
      <c r="AF20" s="207" t="e">
        <f aca="false">AF19+Y20</f>
        <v>#N/A</v>
      </c>
      <c r="AG20" s="207" t="e">
        <f aca="false">AG19+Z20</f>
        <v>#N/A</v>
      </c>
      <c r="AH20" s="207" t="e">
        <f aca="false">AF20-AG20</f>
        <v>#N/A</v>
      </c>
      <c r="AJ20" s="207" t="e">
        <f aca="false">(SUM(E20:T20)-U20-F20-G20)/1000</f>
        <v>#N/A</v>
      </c>
      <c r="AK20" s="207" t="e">
        <f aca="false">(V20+W20+X20)/1000</f>
        <v>#N/A</v>
      </c>
      <c r="AL20" s="211"/>
      <c r="AM20" s="207" t="e">
        <f aca="false">AJ20-AK20</f>
        <v>#N/A</v>
      </c>
      <c r="AN20" s="207" t="e">
        <f aca="false">AM20*1000/ABS(Dades!$F$7)</f>
        <v>#N/A</v>
      </c>
      <c r="AO20" s="207" t="e">
        <f aca="false">AN20*10</f>
        <v>#N/A</v>
      </c>
      <c r="AQ20" s="207" t="e">
        <f aca="false">AQ19+AJ20</f>
        <v>#N/A</v>
      </c>
      <c r="AR20" s="207" t="e">
        <f aca="false">AR19+AK20</f>
        <v>#N/A</v>
      </c>
      <c r="AS20" s="207" t="e">
        <f aca="false">AQ20-AR20</f>
        <v>#N/A</v>
      </c>
      <c r="AU20" s="210" t="n">
        <f aca="false">C20</f>
        <v>9</v>
      </c>
      <c r="AV20" s="212" t="n">
        <f aca="false">E20</f>
        <v>0</v>
      </c>
      <c r="AW20" s="212" t="e">
        <f aca="false">F20</f>
        <v>#N/A</v>
      </c>
      <c r="AX20" s="212" t="n">
        <f aca="false">G20</f>
        <v>0</v>
      </c>
      <c r="AY20" s="210" t="e">
        <f aca="false">H20+K20+N20+Q20+T20</f>
        <v>#N/A</v>
      </c>
      <c r="AZ20" s="210" t="e">
        <f aca="false">I20+L20+O20+R20-U20</f>
        <v>#N/A</v>
      </c>
      <c r="BA20" s="210" t="e">
        <f aca="false">J20+M20+P20+S20</f>
        <v>#N/A</v>
      </c>
      <c r="BF20" s="214" t="e">
        <f aca="false">VLOOKUP(C20-1,mix_electric,3,FALSE())</f>
        <v>#N/A</v>
      </c>
    </row>
    <row r="21" customFormat="false" ht="14.4" hidden="false" customHeight="false" outlineLevel="0" collapsed="false">
      <c r="B21" s="204" t="n">
        <v>10</v>
      </c>
      <c r="C21" s="205" t="n">
        <f aca="false">C20+1</f>
        <v>10</v>
      </c>
      <c r="D21" s="206" t="e">
        <f aca="false">VLOOKUP(C21-1,mix_electric,2,FALSE())</f>
        <v>#N/A</v>
      </c>
      <c r="E21" s="207" t="n">
        <f aca="false">'Emissions CO2'!$F$20</f>
        <v>0</v>
      </c>
      <c r="F21" s="207" t="e">
        <f aca="false">'Emissions CO2'!$F$22*IF(B21*$D$6&gt;1,1,B21*$D$6)*D21/'Factors d''emissió'!$C$7</f>
        <v>#N/A</v>
      </c>
      <c r="G21" s="207" t="n">
        <f aca="false">'Emissions CO2'!$F$26*$B$61*IF($D$6*B21&gt;1,0,$D$6)</f>
        <v>0</v>
      </c>
      <c r="H21" s="207" t="e">
        <f aca="false">'Emissions CO2'!$F$36*IF(B21*$D$6&gt;1,1,B21*$D$6)*(D21*'Factors d''emissió'!$C$34+'Factors d''emissió'!$C$35*'Factors d''emissió'!$C$10+'Factors d''emissió'!$C$36*'Factors d''emissió'!$C$11+'Factors d''emissió'!$C$37*'Factors d''emissió'!$C$12)</f>
        <v>#N/A</v>
      </c>
      <c r="I21" s="207" t="e">
        <f aca="false">(('Emissions CO2'!$G$47*D21)+('Emissions CO2'!$G$48*D21))*IF(B21*$D$6&gt;1,1,B21*$D$6)</f>
        <v>#N/A</v>
      </c>
      <c r="J21" s="207" t="e">
        <f aca="false">'Emissions CO2'!$F$61*IF(B21*$D$6&gt;1,1,B21*$D$6)*(1-BF21)/'Factors d''emissió'!$D$73</f>
        <v>#N/A</v>
      </c>
      <c r="K21" s="207" t="e">
        <f aca="false">'Emissions CO2'!$F$37*D21*IF(B21*$D$6&gt;1,1,B21*$D$6)</f>
        <v>#N/A</v>
      </c>
      <c r="L21" s="207" t="e">
        <f aca="false">(('Emissions CO2'!$G$49*D21)+('Emissions CO2'!$G$50*D21))*IF(B21*$D$6&gt;1,1,B21*$D$6)</f>
        <v>#N/A</v>
      </c>
      <c r="M21" s="207" t="e">
        <f aca="false">'Emissions CO2'!$F$62*IF(B21*$D$6&gt;1,1,B21*$D$6)*(1-BF21)/'Factors d''emissió'!$D$73</f>
        <v>#N/A</v>
      </c>
      <c r="N21" s="207" t="e">
        <f aca="false">'Emissions CO2'!$F$38*D21*IF(B21*$D$6&gt;1,1,B21*$D$6)</f>
        <v>#N/A</v>
      </c>
      <c r="O21" s="207" t="e">
        <f aca="false">(('Emissions CO2'!$G$51*D21)+('Emissions CO2'!$G$52*D21))*IF(B21*$D$6&gt;1,1,B21*$D$6)</f>
        <v>#N/A</v>
      </c>
      <c r="P21" s="207" t="e">
        <f aca="false">'Emissions CO2'!$F$63*IF(B21*$D$6&gt;1,1,B21*$D$6)*(1-BF21)/'Factors d''emissió'!$D$73</f>
        <v>#N/A</v>
      </c>
      <c r="Q21" s="207" t="e">
        <f aca="false">'Emissions CO2'!$F$39*IF(B21*$D$6&gt;1,1,B21*$D$6)*(D21*'Factors d''emissió'!$C$41+'Factors d''emissió'!$C$10*'Factors d''emissió'!$C$42+'Factors d''emissió'!$C$11*'Factors d''emissió'!$C$43+'Factors d''emissió'!$C$12*'Factors d''emissió'!$C$44)</f>
        <v>#N/A</v>
      </c>
      <c r="R21" s="207" t="e">
        <f aca="false">(('Emissions CO2'!$G$53*D21)+('Emissions CO2'!$G$54*D21))*IF(B21*$D$6&gt;1,1,B21*$D$6)</f>
        <v>#N/A</v>
      </c>
      <c r="S21" s="207" t="e">
        <f aca="false">'Emissions CO2'!$F$64*IF(B21*$D$6&gt;1,1,B21*$D$6)*(1-BF21)/'Factors d''emissió'!$D$73</f>
        <v>#N/A</v>
      </c>
      <c r="T21" s="208" t="e">
        <f aca="false">'Emissions CO2'!$F$40*D21</f>
        <v>#N/A</v>
      </c>
      <c r="U21" s="207" t="e">
        <f aca="false">(('Fixació CO2'!$F$14+'Fixació CO2'!$F$15)*D21*(1-'Factors d''emissió'!$E$55))*IF(B21*$D$6&gt;1,1,B21*$D$6)</f>
        <v>#N/A</v>
      </c>
      <c r="V21" s="207" t="n">
        <f aca="false">((Dades!$E$131*Dades!$E$130+Dades!$F$131*Dades!$F$130+Dades!$E$139*Dades!$E$138+Dades!$F$139*Dades!$F$138)*1000/20)+'Fixació CO2'!$F$21+'Fixació CO2'!$F$26*IF(B21*$D$6&gt;1,1,B21*$D$6)+(Dades!$F$121*('Factors d''emissió'!$C$154+('Factors d''emissió'!$C$156-'Factors d''emissió'!$C$154)*IF(B21*$D$6&gt;1,1,B21*$D$6))/10)+'Fixació CO2'!$F$22*IF(B21*$D$6&gt;1,1,B21*$D$6)</f>
        <v>0</v>
      </c>
      <c r="W21" s="207" t="e">
        <f aca="false">('Fixació CO2'!$F$40+'Fixació CO2'!$F$41+('Fixació CO2'!$F$39+'Fixació CO2'!$F$47+'Fixació CO2'!$F$48+'Fixació CO2'!$F$49)*IF(B21*$D$6&gt;1,1,B21*$D$6))*D21</f>
        <v>#N/A</v>
      </c>
      <c r="X21" s="207" t="n">
        <f aca="false">SUM('Fixació CO2'!$F$55:$F$57)</f>
        <v>0</v>
      </c>
      <c r="Y21" s="207" t="e">
        <f aca="false">(SUM(E21:T21)-U21)/1000</f>
        <v>#N/A</v>
      </c>
      <c r="Z21" s="207" t="e">
        <f aca="false">(V21+W21+X21)/1000</f>
        <v>#N/A</v>
      </c>
      <c r="AA21" s="207" t="e">
        <f aca="false">Y21-Z21</f>
        <v>#N/A</v>
      </c>
      <c r="AB21" s="207" t="e">
        <f aca="false">AA21*1000/ABS(Dades!$F$7)</f>
        <v>#N/A</v>
      </c>
      <c r="AC21" s="207" t="e">
        <f aca="false">AB21*10</f>
        <v>#N/A</v>
      </c>
      <c r="AD21" s="209"/>
      <c r="AE21" s="210" t="n">
        <f aca="false">C21</f>
        <v>10</v>
      </c>
      <c r="AF21" s="207" t="e">
        <f aca="false">AF20+Y21</f>
        <v>#N/A</v>
      </c>
      <c r="AG21" s="207" t="e">
        <f aca="false">AG20+Z21</f>
        <v>#N/A</v>
      </c>
      <c r="AH21" s="207" t="e">
        <f aca="false">AF21-AG21</f>
        <v>#N/A</v>
      </c>
      <c r="AJ21" s="207" t="e">
        <f aca="false">(SUM(E21:T21)-U21-F21-G21)/1000</f>
        <v>#N/A</v>
      </c>
      <c r="AK21" s="207" t="e">
        <f aca="false">(V21+W21+X21)/1000</f>
        <v>#N/A</v>
      </c>
      <c r="AL21" s="211"/>
      <c r="AM21" s="207" t="e">
        <f aca="false">AJ21-AK21</f>
        <v>#N/A</v>
      </c>
      <c r="AN21" s="207" t="e">
        <f aca="false">AM21*1000/ABS(Dades!$F$7)</f>
        <v>#N/A</v>
      </c>
      <c r="AO21" s="207" t="e">
        <f aca="false">AN21*10</f>
        <v>#N/A</v>
      </c>
      <c r="AQ21" s="207" t="e">
        <f aca="false">AQ20+AJ21</f>
        <v>#N/A</v>
      </c>
      <c r="AR21" s="207" t="e">
        <f aca="false">AR20+AK21</f>
        <v>#N/A</v>
      </c>
      <c r="AS21" s="207" t="e">
        <f aca="false">AQ21-AR21</f>
        <v>#N/A</v>
      </c>
      <c r="AU21" s="210" t="n">
        <f aca="false">C21</f>
        <v>10</v>
      </c>
      <c r="AV21" s="212" t="n">
        <f aca="false">E21</f>
        <v>0</v>
      </c>
      <c r="AW21" s="212" t="e">
        <f aca="false">F21</f>
        <v>#N/A</v>
      </c>
      <c r="AX21" s="212" t="n">
        <f aca="false">G21</f>
        <v>0</v>
      </c>
      <c r="AY21" s="210" t="e">
        <f aca="false">H21+K21+N21+Q21+T21</f>
        <v>#N/A</v>
      </c>
      <c r="AZ21" s="210" t="e">
        <f aca="false">I21+L21+O21+R21-U21</f>
        <v>#N/A</v>
      </c>
      <c r="BA21" s="210" t="e">
        <f aca="false">J21+M21+P21+S21</f>
        <v>#N/A</v>
      </c>
      <c r="BF21" s="214" t="e">
        <f aca="false">VLOOKUP(C21-1,mix_electric,3,FALSE())</f>
        <v>#N/A</v>
      </c>
    </row>
    <row r="22" customFormat="false" ht="14.4" hidden="false" customHeight="false" outlineLevel="0" collapsed="false">
      <c r="B22" s="204" t="n">
        <v>11</v>
      </c>
      <c r="C22" s="205" t="n">
        <f aca="false">C21+1</f>
        <v>11</v>
      </c>
      <c r="D22" s="206" t="e">
        <f aca="false">VLOOKUP(C22-1,mix_electric,2,FALSE())</f>
        <v>#N/A</v>
      </c>
      <c r="E22" s="207" t="n">
        <f aca="false">'Emissions CO2'!$F$20</f>
        <v>0</v>
      </c>
      <c r="F22" s="207" t="e">
        <f aca="false">'Emissions CO2'!$F$22*IF(B22*$D$6&gt;1,1,B22*$D$6)*D22/'Factors d''emissió'!$C$7</f>
        <v>#N/A</v>
      </c>
      <c r="G22" s="207" t="n">
        <f aca="false">'Emissions CO2'!$F$26*$B$61*IF($D$6*B22&gt;1,0,$D$6)</f>
        <v>0</v>
      </c>
      <c r="H22" s="207" t="e">
        <f aca="false">'Emissions CO2'!$F$36*IF(B22*$D$6&gt;1,1,B22*$D$6)*(D22*'Factors d''emissió'!$C$34+'Factors d''emissió'!$C$35*'Factors d''emissió'!$C$10+'Factors d''emissió'!$C$36*'Factors d''emissió'!$C$11+'Factors d''emissió'!$C$37*'Factors d''emissió'!$C$12)</f>
        <v>#N/A</v>
      </c>
      <c r="I22" s="207" t="e">
        <f aca="false">(('Emissions CO2'!$G$47*D22)+('Emissions CO2'!$G$48*D22))*IF(B22*$D$6&gt;1,1,B22*$D$6)</f>
        <v>#N/A</v>
      </c>
      <c r="J22" s="207" t="e">
        <f aca="false">'Emissions CO2'!$F$61*IF(B22*$D$6&gt;1,1,B22*$D$6)*(1-BF22)/'Factors d''emissió'!$D$73</f>
        <v>#N/A</v>
      </c>
      <c r="K22" s="207" t="e">
        <f aca="false">'Emissions CO2'!$F$37*D22*IF(B22*$D$6&gt;1,1,B22*$D$6)</f>
        <v>#N/A</v>
      </c>
      <c r="L22" s="207" t="e">
        <f aca="false">(('Emissions CO2'!$G$49*D22)+('Emissions CO2'!$G$50*D22))*IF(B22*$D$6&gt;1,1,B22*$D$6)</f>
        <v>#N/A</v>
      </c>
      <c r="M22" s="207" t="e">
        <f aca="false">'Emissions CO2'!$F$62*IF(B22*$D$6&gt;1,1,B22*$D$6)*(1-BF22)/'Factors d''emissió'!$D$73</f>
        <v>#N/A</v>
      </c>
      <c r="N22" s="207" t="e">
        <f aca="false">'Emissions CO2'!$F$38*D22*IF(B22*$D$6&gt;1,1,B22*$D$6)</f>
        <v>#N/A</v>
      </c>
      <c r="O22" s="207" t="e">
        <f aca="false">(('Emissions CO2'!$G$51*D22)+('Emissions CO2'!$G$52*D22))*IF(B22*$D$6&gt;1,1,B22*$D$6)</f>
        <v>#N/A</v>
      </c>
      <c r="P22" s="207" t="e">
        <f aca="false">'Emissions CO2'!$F$63*IF(B22*$D$6&gt;1,1,B22*$D$6)*(1-BF22)/'Factors d''emissió'!$D$73</f>
        <v>#N/A</v>
      </c>
      <c r="Q22" s="207" t="e">
        <f aca="false">'Emissions CO2'!$F$39*IF(B22*$D$6&gt;1,1,B22*$D$6)*(D22*'Factors d''emissió'!$C$41+'Factors d''emissió'!$C$10*'Factors d''emissió'!$C$42+'Factors d''emissió'!$C$11*'Factors d''emissió'!$C$43+'Factors d''emissió'!$C$12*'Factors d''emissió'!$C$44)</f>
        <v>#N/A</v>
      </c>
      <c r="R22" s="207" t="e">
        <f aca="false">(('Emissions CO2'!$G$53*D22)+('Emissions CO2'!$G$54*D22))*IF(B22*$D$6&gt;1,1,B22*$D$6)</f>
        <v>#N/A</v>
      </c>
      <c r="S22" s="207" t="e">
        <f aca="false">'Emissions CO2'!$F$64*IF(B22*$D$6&gt;1,1,B22*$D$6)*(1-BF22)/'Factors d''emissió'!$D$73</f>
        <v>#N/A</v>
      </c>
      <c r="T22" s="208" t="e">
        <f aca="false">'Emissions CO2'!$F$40*D22</f>
        <v>#N/A</v>
      </c>
      <c r="U22" s="207" t="e">
        <f aca="false">(('Fixació CO2'!$F$14+'Fixació CO2'!$F$15)*D22*(1-'Factors d''emissió'!$E$55))*IF(B22*$D$6&gt;1,1,B22*$D$6)</f>
        <v>#N/A</v>
      </c>
      <c r="V22" s="207" t="n">
        <f aca="false">((Dades!$E$131*Dades!$E$130+Dades!$F$131*Dades!$F$130+Dades!$E$139*Dades!$E$138+Dades!$F$139*Dades!$F$138)*1000/20)+'Fixació CO2'!$F$21+'Fixació CO2'!$F$26*IF(B22*$D$6&gt;1,1,B22*$D$6)+(Dades!$F$121*('Factors d''emissió'!$C$154+('Factors d''emissió'!$C$156-'Factors d''emissió'!$C$154)*IF(B22*$D$6&gt;1,1,B22*$D$6))/10)+'Fixació CO2'!$F$22*IF(B22*$D$6&gt;1,1,B22*$D$6)</f>
        <v>0</v>
      </c>
      <c r="W22" s="207" t="e">
        <f aca="false">('Fixació CO2'!$F$40+'Fixació CO2'!$F$41+('Fixació CO2'!$F$39+'Fixació CO2'!$F$47+'Fixació CO2'!$F$48+'Fixació CO2'!$F$49)*IF(B22*$D$6&gt;1,1,B22*$D$6))*D22</f>
        <v>#N/A</v>
      </c>
      <c r="X22" s="207" t="n">
        <f aca="false">SUM('Fixació CO2'!$F$55:$F$57)</f>
        <v>0</v>
      </c>
      <c r="Y22" s="207" t="e">
        <f aca="false">(SUM(E22:T22)-U22)/1000</f>
        <v>#N/A</v>
      </c>
      <c r="Z22" s="207" t="e">
        <f aca="false">(V22+W22+X22)/1000</f>
        <v>#N/A</v>
      </c>
      <c r="AA22" s="207" t="e">
        <f aca="false">Y22-Z22</f>
        <v>#N/A</v>
      </c>
      <c r="AB22" s="207" t="e">
        <f aca="false">AA22*1000/ABS(Dades!$F$7)</f>
        <v>#N/A</v>
      </c>
      <c r="AC22" s="207" t="e">
        <f aca="false">AB22*10</f>
        <v>#N/A</v>
      </c>
      <c r="AD22" s="209"/>
      <c r="AE22" s="210" t="n">
        <f aca="false">C22</f>
        <v>11</v>
      </c>
      <c r="AF22" s="207" t="e">
        <f aca="false">AF21+Y22</f>
        <v>#N/A</v>
      </c>
      <c r="AG22" s="207" t="e">
        <f aca="false">AG21+Z22</f>
        <v>#N/A</v>
      </c>
      <c r="AH22" s="207" t="e">
        <f aca="false">AF22-AG22</f>
        <v>#N/A</v>
      </c>
      <c r="AJ22" s="207" t="e">
        <f aca="false">(SUM(E22:T22)-U22-F22-G22)/1000</f>
        <v>#N/A</v>
      </c>
      <c r="AK22" s="207" t="e">
        <f aca="false">(V22+W22+X22)/1000</f>
        <v>#N/A</v>
      </c>
      <c r="AL22" s="211"/>
      <c r="AM22" s="207" t="e">
        <f aca="false">AJ22-AK22</f>
        <v>#N/A</v>
      </c>
      <c r="AN22" s="207" t="e">
        <f aca="false">AM22*1000/ABS(Dades!$F$7)</f>
        <v>#N/A</v>
      </c>
      <c r="AO22" s="207" t="e">
        <f aca="false">AN22*10</f>
        <v>#N/A</v>
      </c>
      <c r="AQ22" s="207" t="e">
        <f aca="false">AQ21+AJ22</f>
        <v>#N/A</v>
      </c>
      <c r="AR22" s="207" t="e">
        <f aca="false">AR21+AK22</f>
        <v>#N/A</v>
      </c>
      <c r="AS22" s="207" t="e">
        <f aca="false">AQ22-AR22</f>
        <v>#N/A</v>
      </c>
      <c r="AU22" s="210" t="n">
        <f aca="false">C22</f>
        <v>11</v>
      </c>
      <c r="AV22" s="212" t="n">
        <f aca="false">E22</f>
        <v>0</v>
      </c>
      <c r="AW22" s="212" t="e">
        <f aca="false">F22</f>
        <v>#N/A</v>
      </c>
      <c r="AX22" s="212" t="n">
        <f aca="false">G22</f>
        <v>0</v>
      </c>
      <c r="AY22" s="210" t="e">
        <f aca="false">H22+K22+N22+Q22+T22</f>
        <v>#N/A</v>
      </c>
      <c r="AZ22" s="210" t="e">
        <f aca="false">I22+L22+O22+R22-U22</f>
        <v>#N/A</v>
      </c>
      <c r="BA22" s="210" t="e">
        <f aca="false">J22+M22+P22+S22</f>
        <v>#N/A</v>
      </c>
      <c r="BF22" s="214" t="e">
        <f aca="false">VLOOKUP(C22-1,mix_electric,3,FALSE())</f>
        <v>#N/A</v>
      </c>
    </row>
    <row r="23" customFormat="false" ht="14.4" hidden="false" customHeight="false" outlineLevel="0" collapsed="false">
      <c r="B23" s="204" t="n">
        <v>12</v>
      </c>
      <c r="C23" s="205" t="n">
        <f aca="false">C22+1</f>
        <v>12</v>
      </c>
      <c r="D23" s="206" t="e">
        <f aca="false">VLOOKUP(C23-1,mix_electric,2,FALSE())</f>
        <v>#N/A</v>
      </c>
      <c r="E23" s="207" t="n">
        <f aca="false">'Emissions CO2'!$F$20</f>
        <v>0</v>
      </c>
      <c r="F23" s="207" t="e">
        <f aca="false">'Emissions CO2'!$F$22*IF(B23*$D$6&gt;1,1,B23*$D$6)*D23/'Factors d''emissió'!$C$7</f>
        <v>#N/A</v>
      </c>
      <c r="G23" s="207" t="n">
        <f aca="false">'Emissions CO2'!$F$26*$B$61*IF($D$6*B23&gt;1,0,$D$6)</f>
        <v>0</v>
      </c>
      <c r="H23" s="207" t="e">
        <f aca="false">'Emissions CO2'!$F$36*IF(B23*$D$6&gt;1,1,B23*$D$6)*(D23*'Factors d''emissió'!$C$34+'Factors d''emissió'!$C$35*'Factors d''emissió'!$C$10+'Factors d''emissió'!$C$36*'Factors d''emissió'!$C$11+'Factors d''emissió'!$C$37*'Factors d''emissió'!$C$12)</f>
        <v>#N/A</v>
      </c>
      <c r="I23" s="207" t="e">
        <f aca="false">(('Emissions CO2'!$G$47*D23)+('Emissions CO2'!$G$48*D23))*IF(B23*$D$6&gt;1,1,B23*$D$6)</f>
        <v>#N/A</v>
      </c>
      <c r="J23" s="207" t="e">
        <f aca="false">'Emissions CO2'!$F$61*IF(B23*$D$6&gt;1,1,B23*$D$6)*(1-BF23)/'Factors d''emissió'!$D$73</f>
        <v>#N/A</v>
      </c>
      <c r="K23" s="207" t="e">
        <f aca="false">'Emissions CO2'!$F$37*D23*IF(B23*$D$6&gt;1,1,B23*$D$6)</f>
        <v>#N/A</v>
      </c>
      <c r="L23" s="207" t="e">
        <f aca="false">(('Emissions CO2'!$G$49*D23)+('Emissions CO2'!$G$50*D23))*IF(B23*$D$6&gt;1,1,B23*$D$6)</f>
        <v>#N/A</v>
      </c>
      <c r="M23" s="207" t="e">
        <f aca="false">'Emissions CO2'!$F$62*IF(B23*$D$6&gt;1,1,B23*$D$6)*(1-BF23)/'Factors d''emissió'!$D$73</f>
        <v>#N/A</v>
      </c>
      <c r="N23" s="207" t="e">
        <f aca="false">'Emissions CO2'!$F$38*D23*IF(B23*$D$6&gt;1,1,B23*$D$6)</f>
        <v>#N/A</v>
      </c>
      <c r="O23" s="207" t="e">
        <f aca="false">(('Emissions CO2'!$G$51*D23)+('Emissions CO2'!$G$52*D23))*IF(B23*$D$6&gt;1,1,B23*$D$6)</f>
        <v>#N/A</v>
      </c>
      <c r="P23" s="207" t="e">
        <f aca="false">'Emissions CO2'!$F$63*IF(B23*$D$6&gt;1,1,B23*$D$6)*(1-BF23)/'Factors d''emissió'!$D$73</f>
        <v>#N/A</v>
      </c>
      <c r="Q23" s="207" t="e">
        <f aca="false">'Emissions CO2'!$F$39*IF(B23*$D$6&gt;1,1,B23*$D$6)*(D23*'Factors d''emissió'!$C$41+'Factors d''emissió'!$C$10*'Factors d''emissió'!$C$42+'Factors d''emissió'!$C$11*'Factors d''emissió'!$C$43+'Factors d''emissió'!$C$12*'Factors d''emissió'!$C$44)</f>
        <v>#N/A</v>
      </c>
      <c r="R23" s="207" t="e">
        <f aca="false">(('Emissions CO2'!$G$53*D23)+('Emissions CO2'!$G$54*D23))*IF(B23*$D$6&gt;1,1,B23*$D$6)</f>
        <v>#N/A</v>
      </c>
      <c r="S23" s="207" t="e">
        <f aca="false">'Emissions CO2'!$F$64*IF(B23*$D$6&gt;1,1,B23*$D$6)*(1-BF23)/'Factors d''emissió'!$D$73</f>
        <v>#N/A</v>
      </c>
      <c r="T23" s="208" t="e">
        <f aca="false">'Emissions CO2'!$F$40*D23</f>
        <v>#N/A</v>
      </c>
      <c r="U23" s="207" t="e">
        <f aca="false">(('Fixació CO2'!$F$14+'Fixació CO2'!$F$15)*D23*(1-'Factors d''emissió'!$E$55))*IF(B23*$D$6&gt;1,1,B23*$D$6)</f>
        <v>#N/A</v>
      </c>
      <c r="V23" s="207" t="n">
        <f aca="false">((Dades!$E$131*Dades!$E$130+Dades!$F$131*Dades!$F$130+Dades!$E$139*Dades!$E$138+Dades!$F$139*Dades!$F$138)*1000/20)+'Fixació CO2'!$F$21+'Fixació CO2'!$F$26*IF(B23*$D$6&gt;1,1,B23*$D$6)+(Dades!$F$121*('Factors d''emissió'!$C$154+('Factors d''emissió'!$C$156-'Factors d''emissió'!$C$154)*IF(B23*$D$6&gt;1,1,B23*$D$6))/10)+'Fixació CO2'!$F$22*IF(B23*$D$6&gt;1,1,B23*$D$6)</f>
        <v>0</v>
      </c>
      <c r="W23" s="207" t="e">
        <f aca="false">('Fixació CO2'!$F$40+'Fixació CO2'!$F$41+('Fixació CO2'!$F$39+'Fixació CO2'!$F$47+'Fixació CO2'!$F$48+'Fixació CO2'!$F$49)*IF(B23*$D$6&gt;1,1,B23*$D$6))*D23</f>
        <v>#N/A</v>
      </c>
      <c r="X23" s="207" t="n">
        <f aca="false">SUM('Fixació CO2'!$F$55:$F$57)</f>
        <v>0</v>
      </c>
      <c r="Y23" s="207" t="e">
        <f aca="false">(SUM(E23:T23)-U23)/1000</f>
        <v>#N/A</v>
      </c>
      <c r="Z23" s="207" t="e">
        <f aca="false">(V23+W23+X23)/1000</f>
        <v>#N/A</v>
      </c>
      <c r="AA23" s="207" t="e">
        <f aca="false">Y23-Z23</f>
        <v>#N/A</v>
      </c>
      <c r="AB23" s="207" t="e">
        <f aca="false">AA23*1000/ABS(Dades!$F$7)</f>
        <v>#N/A</v>
      </c>
      <c r="AC23" s="207" t="e">
        <f aca="false">AB23*10</f>
        <v>#N/A</v>
      </c>
      <c r="AD23" s="209"/>
      <c r="AE23" s="210" t="n">
        <f aca="false">C23</f>
        <v>12</v>
      </c>
      <c r="AF23" s="207" t="e">
        <f aca="false">AF22+Y23</f>
        <v>#N/A</v>
      </c>
      <c r="AG23" s="207" t="e">
        <f aca="false">AG22+Z23</f>
        <v>#N/A</v>
      </c>
      <c r="AH23" s="207" t="e">
        <f aca="false">AF23-AG23</f>
        <v>#N/A</v>
      </c>
      <c r="AJ23" s="207" t="e">
        <f aca="false">(SUM(E23:T23)-U23-F23-G23)/1000</f>
        <v>#N/A</v>
      </c>
      <c r="AK23" s="207" t="e">
        <f aca="false">(V23+W23+X23)/1000</f>
        <v>#N/A</v>
      </c>
      <c r="AL23" s="211"/>
      <c r="AM23" s="207" t="e">
        <f aca="false">AJ23-AK23</f>
        <v>#N/A</v>
      </c>
      <c r="AN23" s="207" t="e">
        <f aca="false">AM23*1000/ABS(Dades!$F$7)</f>
        <v>#N/A</v>
      </c>
      <c r="AO23" s="207" t="e">
        <f aca="false">AN23*10</f>
        <v>#N/A</v>
      </c>
      <c r="AQ23" s="207" t="e">
        <f aca="false">AQ22+AJ23</f>
        <v>#N/A</v>
      </c>
      <c r="AR23" s="207" t="e">
        <f aca="false">AR22+AK23</f>
        <v>#N/A</v>
      </c>
      <c r="AS23" s="207" t="e">
        <f aca="false">AQ23-AR23</f>
        <v>#N/A</v>
      </c>
      <c r="AU23" s="210" t="n">
        <f aca="false">C23</f>
        <v>12</v>
      </c>
      <c r="AV23" s="212" t="n">
        <f aca="false">E23</f>
        <v>0</v>
      </c>
      <c r="AW23" s="212" t="e">
        <f aca="false">F23</f>
        <v>#N/A</v>
      </c>
      <c r="AX23" s="212" t="n">
        <f aca="false">G23</f>
        <v>0</v>
      </c>
      <c r="AY23" s="210" t="e">
        <f aca="false">H23+K23+N23+Q23+T23</f>
        <v>#N/A</v>
      </c>
      <c r="AZ23" s="210" t="e">
        <f aca="false">I23+L23+O23+R23-U23</f>
        <v>#N/A</v>
      </c>
      <c r="BA23" s="210" t="e">
        <f aca="false">J23+M23+P23+S23</f>
        <v>#N/A</v>
      </c>
      <c r="BF23" s="214" t="e">
        <f aca="false">VLOOKUP(C23-1,mix_electric,3,FALSE())</f>
        <v>#N/A</v>
      </c>
    </row>
    <row r="24" customFormat="false" ht="14.4" hidden="false" customHeight="false" outlineLevel="0" collapsed="false">
      <c r="B24" s="204" t="n">
        <v>13</v>
      </c>
      <c r="C24" s="205" t="n">
        <f aca="false">C23+1</f>
        <v>13</v>
      </c>
      <c r="D24" s="206" t="e">
        <f aca="false">VLOOKUP(C24-1,mix_electric,2,FALSE())</f>
        <v>#N/A</v>
      </c>
      <c r="E24" s="207" t="n">
        <f aca="false">'Emissions CO2'!$F$20</f>
        <v>0</v>
      </c>
      <c r="F24" s="207" t="e">
        <f aca="false">'Emissions CO2'!$F$22*IF(B24*$D$6&gt;1,1,B24*$D$6)*D24/'Factors d''emissió'!$C$7</f>
        <v>#N/A</v>
      </c>
      <c r="G24" s="207" t="n">
        <f aca="false">'Emissions CO2'!$F$26*$B$61*IF($D$6*B24&gt;1,0,$D$6)</f>
        <v>0</v>
      </c>
      <c r="H24" s="207" t="e">
        <f aca="false">'Emissions CO2'!$F$36*IF(B24*$D$6&gt;1,1,B24*$D$6)*(D24*'Factors d''emissió'!$C$34+'Factors d''emissió'!$C$35*'Factors d''emissió'!$C$10+'Factors d''emissió'!$C$36*'Factors d''emissió'!$C$11+'Factors d''emissió'!$C$37*'Factors d''emissió'!$C$12)</f>
        <v>#N/A</v>
      </c>
      <c r="I24" s="207" t="e">
        <f aca="false">(('Emissions CO2'!$G$47*D24)+('Emissions CO2'!$G$48*D24))*IF(B24*$D$6&gt;1,1,B24*$D$6)</f>
        <v>#N/A</v>
      </c>
      <c r="J24" s="207" t="e">
        <f aca="false">'Emissions CO2'!$F$61*IF(B24*$D$6&gt;1,1,B24*$D$6)*(1-BF24)/'Factors d''emissió'!$D$73</f>
        <v>#N/A</v>
      </c>
      <c r="K24" s="207" t="e">
        <f aca="false">'Emissions CO2'!$F$37*D24*IF(B24*$D$6&gt;1,1,B24*$D$6)</f>
        <v>#N/A</v>
      </c>
      <c r="L24" s="207" t="e">
        <f aca="false">(('Emissions CO2'!$G$49*D24)+('Emissions CO2'!$G$50*D24))*IF(B24*$D$6&gt;1,1,B24*$D$6)</f>
        <v>#N/A</v>
      </c>
      <c r="M24" s="207" t="e">
        <f aca="false">'Emissions CO2'!$F$62*IF(B24*$D$6&gt;1,1,B24*$D$6)*(1-BF24)/'Factors d''emissió'!$D$73</f>
        <v>#N/A</v>
      </c>
      <c r="N24" s="207" t="e">
        <f aca="false">'Emissions CO2'!$F$38*D24*IF(B24*$D$6&gt;1,1,B24*$D$6)</f>
        <v>#N/A</v>
      </c>
      <c r="O24" s="207" t="e">
        <f aca="false">(('Emissions CO2'!$G$51*D24)+('Emissions CO2'!$G$52*D24))*IF(B24*$D$6&gt;1,1,B24*$D$6)</f>
        <v>#N/A</v>
      </c>
      <c r="P24" s="207" t="e">
        <f aca="false">'Emissions CO2'!$F$63*IF(B24*$D$6&gt;1,1,B24*$D$6)*(1-BF24)/'Factors d''emissió'!$D$73</f>
        <v>#N/A</v>
      </c>
      <c r="Q24" s="207" t="e">
        <f aca="false">'Emissions CO2'!$F$39*IF(B24*$D$6&gt;1,1,B24*$D$6)*(D24*'Factors d''emissió'!$C$41+'Factors d''emissió'!$C$10*'Factors d''emissió'!$C$42+'Factors d''emissió'!$C$11*'Factors d''emissió'!$C$43+'Factors d''emissió'!$C$12*'Factors d''emissió'!$C$44)</f>
        <v>#N/A</v>
      </c>
      <c r="R24" s="207" t="e">
        <f aca="false">(('Emissions CO2'!$G$53*D24)+('Emissions CO2'!$G$54*D24))*IF(B24*$D$6&gt;1,1,B24*$D$6)</f>
        <v>#N/A</v>
      </c>
      <c r="S24" s="207" t="e">
        <f aca="false">'Emissions CO2'!$F$64*IF(B24*$D$6&gt;1,1,B24*$D$6)*(1-BF24)/'Factors d''emissió'!$D$73</f>
        <v>#N/A</v>
      </c>
      <c r="T24" s="208" t="e">
        <f aca="false">'Emissions CO2'!$F$40*D24</f>
        <v>#N/A</v>
      </c>
      <c r="U24" s="207" t="e">
        <f aca="false">(('Fixació CO2'!$F$14+'Fixació CO2'!$F$15)*D24*(1-'Factors d''emissió'!$E$55))*IF(B24*$D$6&gt;1,1,B24*$D$6)</f>
        <v>#N/A</v>
      </c>
      <c r="V24" s="207" t="n">
        <f aca="false">((Dades!$E$131*Dades!$E$130+Dades!$F$131*Dades!$F$130+Dades!$E$139*Dades!$E$138+Dades!$F$139*Dades!$F$138)*1000/20)+'Fixació CO2'!$F$21+'Fixació CO2'!$F$26*IF(B24*$D$6&gt;1,1,B24*$D$6)+(Dades!$F$121*('Factors d''emissió'!$C$154+('Factors d''emissió'!$C$156-'Factors d''emissió'!$C$154)*IF(B24*$D$6&gt;1,1,B24*$D$6))/10)+'Fixació CO2'!$F$22*IF(B24*$D$6&gt;1,1,B24*$D$6)</f>
        <v>0</v>
      </c>
      <c r="W24" s="207" t="e">
        <f aca="false">('Fixació CO2'!$F$40+'Fixació CO2'!$F$41+('Fixació CO2'!$F$39+'Fixació CO2'!$F$47+'Fixació CO2'!$F$48+'Fixació CO2'!$F$49)*IF(B24*$D$6&gt;1,1,B24*$D$6))*D24</f>
        <v>#N/A</v>
      </c>
      <c r="X24" s="207" t="n">
        <f aca="false">SUM('Fixació CO2'!$F$55:$F$57)</f>
        <v>0</v>
      </c>
      <c r="Y24" s="207" t="e">
        <f aca="false">(SUM(E24:T24)-U24)/1000</f>
        <v>#N/A</v>
      </c>
      <c r="Z24" s="207" t="e">
        <f aca="false">(V24+W24+X24)/1000</f>
        <v>#N/A</v>
      </c>
      <c r="AA24" s="207" t="e">
        <f aca="false">Y24-Z24</f>
        <v>#N/A</v>
      </c>
      <c r="AB24" s="207" t="e">
        <f aca="false">AA24*1000/ABS(Dades!$F$7)</f>
        <v>#N/A</v>
      </c>
      <c r="AC24" s="207" t="e">
        <f aca="false">AB24*10</f>
        <v>#N/A</v>
      </c>
      <c r="AD24" s="209"/>
      <c r="AE24" s="210" t="n">
        <f aca="false">C24</f>
        <v>13</v>
      </c>
      <c r="AF24" s="207" t="e">
        <f aca="false">AF23+Y24</f>
        <v>#N/A</v>
      </c>
      <c r="AG24" s="207" t="e">
        <f aca="false">AG23+Z24</f>
        <v>#N/A</v>
      </c>
      <c r="AH24" s="207" t="e">
        <f aca="false">AF24-AG24</f>
        <v>#N/A</v>
      </c>
      <c r="AJ24" s="207" t="e">
        <f aca="false">(SUM(E24:T24)-U24-F24-G24)/1000</f>
        <v>#N/A</v>
      </c>
      <c r="AK24" s="207" t="e">
        <f aca="false">(V24+W24+X24)/1000</f>
        <v>#N/A</v>
      </c>
      <c r="AL24" s="211"/>
      <c r="AM24" s="207" t="e">
        <f aca="false">AJ24-AK24</f>
        <v>#N/A</v>
      </c>
      <c r="AN24" s="207" t="e">
        <f aca="false">AM24*1000/ABS(Dades!$F$7)</f>
        <v>#N/A</v>
      </c>
      <c r="AO24" s="207" t="e">
        <f aca="false">AN24*10</f>
        <v>#N/A</v>
      </c>
      <c r="AQ24" s="207" t="e">
        <f aca="false">AQ23+AJ24</f>
        <v>#N/A</v>
      </c>
      <c r="AR24" s="207" t="e">
        <f aca="false">AR23+AK24</f>
        <v>#N/A</v>
      </c>
      <c r="AS24" s="207" t="e">
        <f aca="false">AQ24-AR24</f>
        <v>#N/A</v>
      </c>
      <c r="AU24" s="210" t="n">
        <f aca="false">C24</f>
        <v>13</v>
      </c>
      <c r="AV24" s="212" t="n">
        <f aca="false">E24</f>
        <v>0</v>
      </c>
      <c r="AW24" s="212" t="e">
        <f aca="false">F24</f>
        <v>#N/A</v>
      </c>
      <c r="AX24" s="212" t="n">
        <f aca="false">G24</f>
        <v>0</v>
      </c>
      <c r="AY24" s="210" t="e">
        <f aca="false">H24+K24+N24+Q24+T24</f>
        <v>#N/A</v>
      </c>
      <c r="AZ24" s="210" t="e">
        <f aca="false">I24+L24+O24+R24-U24</f>
        <v>#N/A</v>
      </c>
      <c r="BA24" s="210" t="e">
        <f aca="false">J24+M24+P24+S24</f>
        <v>#N/A</v>
      </c>
      <c r="BF24" s="214" t="e">
        <f aca="false">VLOOKUP(C24-1,mix_electric,3,FALSE())</f>
        <v>#N/A</v>
      </c>
    </row>
    <row r="25" customFormat="false" ht="14.4" hidden="false" customHeight="false" outlineLevel="0" collapsed="false">
      <c r="B25" s="204" t="n">
        <v>14</v>
      </c>
      <c r="C25" s="205" t="n">
        <f aca="false">C24+1</f>
        <v>14</v>
      </c>
      <c r="D25" s="206" t="e">
        <f aca="false">VLOOKUP(C25-1,mix_electric,2,FALSE())</f>
        <v>#N/A</v>
      </c>
      <c r="E25" s="207" t="n">
        <f aca="false">'Emissions CO2'!$F$20</f>
        <v>0</v>
      </c>
      <c r="F25" s="207" t="e">
        <f aca="false">'Emissions CO2'!$F$22*IF(B25*$D$6&gt;1,1,B25*$D$6)*D25/'Factors d''emissió'!$C$7</f>
        <v>#N/A</v>
      </c>
      <c r="G25" s="207" t="n">
        <f aca="false">'Emissions CO2'!$F$26*$B$61*IF($D$6*B25&gt;1,0,$D$6)</f>
        <v>0</v>
      </c>
      <c r="H25" s="207" t="e">
        <f aca="false">'Emissions CO2'!$F$36*IF(B25*$D$6&gt;1,1,B25*$D$6)*(D25*'Factors d''emissió'!$C$34+'Factors d''emissió'!$C$35*'Factors d''emissió'!$C$10+'Factors d''emissió'!$C$36*'Factors d''emissió'!$C$11+'Factors d''emissió'!$C$37*'Factors d''emissió'!$C$12)</f>
        <v>#N/A</v>
      </c>
      <c r="I25" s="207" t="e">
        <f aca="false">(('Emissions CO2'!$G$47*D25)+('Emissions CO2'!$G$48*D25))*IF(B25*$D$6&gt;1,1,B25*$D$6)</f>
        <v>#N/A</v>
      </c>
      <c r="J25" s="207" t="e">
        <f aca="false">'Emissions CO2'!$F$61*IF(B25*$D$6&gt;1,1,B25*$D$6)*(1-BF25)/'Factors d''emissió'!$D$73</f>
        <v>#N/A</v>
      </c>
      <c r="K25" s="207" t="e">
        <f aca="false">'Emissions CO2'!$F$37*D25*IF(B25*$D$6&gt;1,1,B25*$D$6)</f>
        <v>#N/A</v>
      </c>
      <c r="L25" s="207" t="e">
        <f aca="false">(('Emissions CO2'!$G$49*D25)+('Emissions CO2'!$G$50*D25))*IF(B25*$D$6&gt;1,1,B25*$D$6)</f>
        <v>#N/A</v>
      </c>
      <c r="M25" s="207" t="e">
        <f aca="false">'Emissions CO2'!$F$62*IF(B25*$D$6&gt;1,1,B25*$D$6)*(1-BF25)/'Factors d''emissió'!$D$73</f>
        <v>#N/A</v>
      </c>
      <c r="N25" s="207" t="e">
        <f aca="false">'Emissions CO2'!$F$38*D25*IF(B25*$D$6&gt;1,1,B25*$D$6)</f>
        <v>#N/A</v>
      </c>
      <c r="O25" s="207" t="e">
        <f aca="false">(('Emissions CO2'!$G$51*D25)+('Emissions CO2'!$G$52*D25))*IF(B25*$D$6&gt;1,1,B25*$D$6)</f>
        <v>#N/A</v>
      </c>
      <c r="P25" s="207" t="e">
        <f aca="false">'Emissions CO2'!$F$63*IF(B25*$D$6&gt;1,1,B25*$D$6)*(1-BF25)/'Factors d''emissió'!$D$73</f>
        <v>#N/A</v>
      </c>
      <c r="Q25" s="207" t="e">
        <f aca="false">'Emissions CO2'!$F$39*IF(B25*$D$6&gt;1,1,B25*$D$6)*(D25*'Factors d''emissió'!$C$41+'Factors d''emissió'!$C$10*'Factors d''emissió'!$C$42+'Factors d''emissió'!$C$11*'Factors d''emissió'!$C$43+'Factors d''emissió'!$C$12*'Factors d''emissió'!$C$44)</f>
        <v>#N/A</v>
      </c>
      <c r="R25" s="207" t="e">
        <f aca="false">(('Emissions CO2'!$G$53*D25)+('Emissions CO2'!$G$54*D25))*IF(B25*$D$6&gt;1,1,B25*$D$6)</f>
        <v>#N/A</v>
      </c>
      <c r="S25" s="207" t="e">
        <f aca="false">'Emissions CO2'!$F$64*IF(B25*$D$6&gt;1,1,B25*$D$6)*(1-BF25)/'Factors d''emissió'!$D$73</f>
        <v>#N/A</v>
      </c>
      <c r="T25" s="208" t="e">
        <f aca="false">'Emissions CO2'!$F$40*D25</f>
        <v>#N/A</v>
      </c>
      <c r="U25" s="207" t="e">
        <f aca="false">(('Fixació CO2'!$F$14+'Fixació CO2'!$F$15)*D25*(1-'Factors d''emissió'!$E$55))*IF(B25*$D$6&gt;1,1,B25*$D$6)</f>
        <v>#N/A</v>
      </c>
      <c r="V25" s="207" t="n">
        <f aca="false">((Dades!$E$131*Dades!$E$130+Dades!$F$131*Dades!$F$130+Dades!$E$139*Dades!$E$138+Dades!$F$139*Dades!$F$138)*1000/20)+'Fixació CO2'!$F$21+'Fixació CO2'!$F$26*IF(B25*$D$6&gt;1,1,B25*$D$6)+(Dades!$F$121*('Factors d''emissió'!$C$154+('Factors d''emissió'!$C$156-'Factors d''emissió'!$C$154)*IF(B25*$D$6&gt;1,1,B25*$D$6))/10)+'Fixació CO2'!$F$22*IF(B25*$D$6&gt;1,1,B25*$D$6)</f>
        <v>0</v>
      </c>
      <c r="W25" s="207" t="e">
        <f aca="false">('Fixació CO2'!$F$40+'Fixació CO2'!$F$41+('Fixació CO2'!$F$39+'Fixació CO2'!$F$47+'Fixació CO2'!$F$48+'Fixació CO2'!$F$49)*IF(B25*$D$6&gt;1,1,B25*$D$6))*D25</f>
        <v>#N/A</v>
      </c>
      <c r="X25" s="207" t="n">
        <f aca="false">SUM('Fixació CO2'!$F$55:$F$57)</f>
        <v>0</v>
      </c>
      <c r="Y25" s="207" t="e">
        <f aca="false">(SUM(E25:T25)-U25)/1000</f>
        <v>#N/A</v>
      </c>
      <c r="Z25" s="207" t="e">
        <f aca="false">(V25+W25+X25)/1000</f>
        <v>#N/A</v>
      </c>
      <c r="AA25" s="207" t="e">
        <f aca="false">Y25-Z25</f>
        <v>#N/A</v>
      </c>
      <c r="AB25" s="207" t="e">
        <f aca="false">AA25*1000/ABS(Dades!$F$7)</f>
        <v>#N/A</v>
      </c>
      <c r="AC25" s="207" t="e">
        <f aca="false">AB25*10</f>
        <v>#N/A</v>
      </c>
      <c r="AD25" s="209"/>
      <c r="AE25" s="210" t="n">
        <f aca="false">C25</f>
        <v>14</v>
      </c>
      <c r="AF25" s="207" t="e">
        <f aca="false">AF24+Y25</f>
        <v>#N/A</v>
      </c>
      <c r="AG25" s="207" t="e">
        <f aca="false">AG24+Z25</f>
        <v>#N/A</v>
      </c>
      <c r="AH25" s="207" t="e">
        <f aca="false">AF25-AG25</f>
        <v>#N/A</v>
      </c>
      <c r="AJ25" s="207" t="e">
        <f aca="false">(SUM(E25:T25)-U25-F25-G25)/1000</f>
        <v>#N/A</v>
      </c>
      <c r="AK25" s="207" t="e">
        <f aca="false">(V25+W25+X25)/1000</f>
        <v>#N/A</v>
      </c>
      <c r="AL25" s="211"/>
      <c r="AM25" s="207" t="e">
        <f aca="false">AJ25-AK25</f>
        <v>#N/A</v>
      </c>
      <c r="AN25" s="207" t="e">
        <f aca="false">AM25*1000/ABS(Dades!$F$7)</f>
        <v>#N/A</v>
      </c>
      <c r="AO25" s="207" t="e">
        <f aca="false">AN25*10</f>
        <v>#N/A</v>
      </c>
      <c r="AQ25" s="207" t="e">
        <f aca="false">AQ24+AJ25</f>
        <v>#N/A</v>
      </c>
      <c r="AR25" s="207" t="e">
        <f aca="false">AR24+AK25</f>
        <v>#N/A</v>
      </c>
      <c r="AS25" s="207" t="e">
        <f aca="false">AQ25-AR25</f>
        <v>#N/A</v>
      </c>
      <c r="AU25" s="210" t="n">
        <f aca="false">C25</f>
        <v>14</v>
      </c>
      <c r="AV25" s="212" t="n">
        <f aca="false">E25</f>
        <v>0</v>
      </c>
      <c r="AW25" s="212" t="e">
        <f aca="false">F25</f>
        <v>#N/A</v>
      </c>
      <c r="AX25" s="212" t="n">
        <f aca="false">G25</f>
        <v>0</v>
      </c>
      <c r="AY25" s="210" t="e">
        <f aca="false">H25+K25+N25+Q25+T25</f>
        <v>#N/A</v>
      </c>
      <c r="AZ25" s="210" t="e">
        <f aca="false">I25+L25+O25+R25-U25</f>
        <v>#N/A</v>
      </c>
      <c r="BA25" s="210" t="e">
        <f aca="false">J25+M25+P25+S25</f>
        <v>#N/A</v>
      </c>
      <c r="BF25" s="214" t="e">
        <f aca="false">VLOOKUP(C25-1,mix_electric,3,FALSE())</f>
        <v>#N/A</v>
      </c>
    </row>
    <row r="26" customFormat="false" ht="14.4" hidden="false" customHeight="false" outlineLevel="0" collapsed="false">
      <c r="B26" s="204" t="n">
        <v>15</v>
      </c>
      <c r="C26" s="205" t="n">
        <f aca="false">C25+1</f>
        <v>15</v>
      </c>
      <c r="D26" s="206" t="e">
        <f aca="false">VLOOKUP(C26-1,mix_electric,2,FALSE())</f>
        <v>#N/A</v>
      </c>
      <c r="E26" s="207" t="n">
        <f aca="false">'Emissions CO2'!$F$20</f>
        <v>0</v>
      </c>
      <c r="F26" s="207" t="e">
        <f aca="false">'Emissions CO2'!$F$22*IF(B26*$D$6&gt;1,1,B26*$D$6)*D26/'Factors d''emissió'!$C$7</f>
        <v>#N/A</v>
      </c>
      <c r="G26" s="207" t="n">
        <f aca="false">'Emissions CO2'!$F$26*$B$61*IF($D$6*B26&gt;1,0,$D$6)</f>
        <v>0</v>
      </c>
      <c r="H26" s="207" t="e">
        <f aca="false">'Emissions CO2'!$F$36*IF(B26*$D$6&gt;1,1,B26*$D$6)*(D26*'Factors d''emissió'!$C$34+'Factors d''emissió'!$C$35*'Factors d''emissió'!$C$10+'Factors d''emissió'!$C$36*'Factors d''emissió'!$C$11+'Factors d''emissió'!$C$37*'Factors d''emissió'!$C$12)</f>
        <v>#N/A</v>
      </c>
      <c r="I26" s="207" t="e">
        <f aca="false">(('Emissions CO2'!$G$47*D26)+('Emissions CO2'!$G$48*D26))*IF(B26*$D$6&gt;1,1,B26*$D$6)</f>
        <v>#N/A</v>
      </c>
      <c r="J26" s="207" t="e">
        <f aca="false">'Emissions CO2'!$F$61*IF(B26*$D$6&gt;1,1,B26*$D$6)*(1-BF26)/'Factors d''emissió'!$D$73</f>
        <v>#N/A</v>
      </c>
      <c r="K26" s="207" t="e">
        <f aca="false">'Emissions CO2'!$F$37*D26*IF(B26*$D$6&gt;1,1,B26*$D$6)</f>
        <v>#N/A</v>
      </c>
      <c r="L26" s="207" t="e">
        <f aca="false">(('Emissions CO2'!$G$49*D26)+('Emissions CO2'!$G$50*D26))*IF(B26*$D$6&gt;1,1,B26*$D$6)</f>
        <v>#N/A</v>
      </c>
      <c r="M26" s="207" t="e">
        <f aca="false">'Emissions CO2'!$F$62*IF(B26*$D$6&gt;1,1,B26*$D$6)*(1-BF26)/'Factors d''emissió'!$D$73</f>
        <v>#N/A</v>
      </c>
      <c r="N26" s="207" t="e">
        <f aca="false">'Emissions CO2'!$F$38*D26*IF(B26*$D$6&gt;1,1,B26*$D$6)</f>
        <v>#N/A</v>
      </c>
      <c r="O26" s="207" t="e">
        <f aca="false">(('Emissions CO2'!$G$51*D26)+('Emissions CO2'!$G$52*D26))*IF(B26*$D$6&gt;1,1,B26*$D$6)</f>
        <v>#N/A</v>
      </c>
      <c r="P26" s="207" t="e">
        <f aca="false">'Emissions CO2'!$F$63*IF(B26*$D$6&gt;1,1,B26*$D$6)*(1-BF26)/'Factors d''emissió'!$D$73</f>
        <v>#N/A</v>
      </c>
      <c r="Q26" s="207" t="e">
        <f aca="false">'Emissions CO2'!$F$39*IF(B26*$D$6&gt;1,1,B26*$D$6)*(D26*'Factors d''emissió'!$C$41+'Factors d''emissió'!$C$10*'Factors d''emissió'!$C$42+'Factors d''emissió'!$C$11*'Factors d''emissió'!$C$43+'Factors d''emissió'!$C$12*'Factors d''emissió'!$C$44)</f>
        <v>#N/A</v>
      </c>
      <c r="R26" s="207" t="e">
        <f aca="false">(('Emissions CO2'!$G$53*D26)+('Emissions CO2'!$G$54*D26))*IF(B26*$D$6&gt;1,1,B26*$D$6)</f>
        <v>#N/A</v>
      </c>
      <c r="S26" s="207" t="e">
        <f aca="false">'Emissions CO2'!$F$64*IF(B26*$D$6&gt;1,1,B26*$D$6)*(1-BF26)/'Factors d''emissió'!$D$73</f>
        <v>#N/A</v>
      </c>
      <c r="T26" s="208" t="e">
        <f aca="false">'Emissions CO2'!$F$40*D26</f>
        <v>#N/A</v>
      </c>
      <c r="U26" s="207" t="e">
        <f aca="false">(('Fixació CO2'!$F$14+'Fixació CO2'!$F$15)*D26*(1-'Factors d''emissió'!$E$55))*IF(B26*$D$6&gt;1,1,B26*$D$6)</f>
        <v>#N/A</v>
      </c>
      <c r="V26" s="207" t="n">
        <f aca="false">((Dades!$E$131*Dades!$E$130+Dades!$F$131*Dades!$F$130+Dades!$E$139*Dades!$E$138+Dades!$F$139*Dades!$F$138)*1000/20)+'Fixació CO2'!$F$21+'Fixació CO2'!$F$26*IF(B26*$D$6&gt;1,1,B26*$D$6)+(Dades!$F$121*('Factors d''emissió'!$C$154+('Factors d''emissió'!$C$156-'Factors d''emissió'!$C$154)*IF(B26*$D$6&gt;1,1,B26*$D$6))/10)+'Fixació CO2'!$F$22*IF(B26*$D$6&gt;1,1,B26*$D$6)</f>
        <v>0</v>
      </c>
      <c r="W26" s="207" t="e">
        <f aca="false">('Fixació CO2'!$F$40+'Fixació CO2'!$F$41+('Fixació CO2'!$F$39+'Fixació CO2'!$F$47+'Fixació CO2'!$F$48+'Fixació CO2'!$F$49)*IF(B26*$D$6&gt;1,1,B26*$D$6))*D26</f>
        <v>#N/A</v>
      </c>
      <c r="X26" s="207" t="n">
        <f aca="false">SUM('Fixació CO2'!$F$55:$F$57)</f>
        <v>0</v>
      </c>
      <c r="Y26" s="207" t="e">
        <f aca="false">(SUM(E26:T26)-U26)/1000</f>
        <v>#N/A</v>
      </c>
      <c r="Z26" s="207" t="e">
        <f aca="false">(V26+W26+X26)/1000</f>
        <v>#N/A</v>
      </c>
      <c r="AA26" s="207" t="e">
        <f aca="false">Y26-Z26</f>
        <v>#N/A</v>
      </c>
      <c r="AB26" s="207" t="e">
        <f aca="false">AA26*1000/ABS(Dades!$F$7)</f>
        <v>#N/A</v>
      </c>
      <c r="AC26" s="207" t="e">
        <f aca="false">AB26*10</f>
        <v>#N/A</v>
      </c>
      <c r="AD26" s="209"/>
      <c r="AE26" s="210" t="n">
        <f aca="false">C26</f>
        <v>15</v>
      </c>
      <c r="AF26" s="207" t="e">
        <f aca="false">AF25+Y26</f>
        <v>#N/A</v>
      </c>
      <c r="AG26" s="207" t="e">
        <f aca="false">AG25+Z26</f>
        <v>#N/A</v>
      </c>
      <c r="AH26" s="207" t="e">
        <f aca="false">AF26-AG26</f>
        <v>#N/A</v>
      </c>
      <c r="AJ26" s="207" t="e">
        <f aca="false">(SUM(E26:T26)-U26-F26-G26)/1000</f>
        <v>#N/A</v>
      </c>
      <c r="AK26" s="207" t="e">
        <f aca="false">(V26+W26+X26)/1000</f>
        <v>#N/A</v>
      </c>
      <c r="AL26" s="211"/>
      <c r="AM26" s="207" t="e">
        <f aca="false">AJ26-AK26</f>
        <v>#N/A</v>
      </c>
      <c r="AN26" s="207" t="e">
        <f aca="false">AM26*1000/ABS(Dades!$F$7)</f>
        <v>#N/A</v>
      </c>
      <c r="AO26" s="207" t="e">
        <f aca="false">AN26*10</f>
        <v>#N/A</v>
      </c>
      <c r="AQ26" s="207" t="e">
        <f aca="false">AQ25+AJ26</f>
        <v>#N/A</v>
      </c>
      <c r="AR26" s="207" t="e">
        <f aca="false">AR25+AK26</f>
        <v>#N/A</v>
      </c>
      <c r="AS26" s="207" t="e">
        <f aca="false">AQ26-AR26</f>
        <v>#N/A</v>
      </c>
      <c r="AU26" s="210" t="n">
        <f aca="false">C26</f>
        <v>15</v>
      </c>
      <c r="AV26" s="212" t="n">
        <f aca="false">E26</f>
        <v>0</v>
      </c>
      <c r="AW26" s="212" t="e">
        <f aca="false">F26</f>
        <v>#N/A</v>
      </c>
      <c r="AX26" s="212" t="n">
        <f aca="false">G26</f>
        <v>0</v>
      </c>
      <c r="AY26" s="210" t="e">
        <f aca="false">H26+K26+N26+Q26+T26</f>
        <v>#N/A</v>
      </c>
      <c r="AZ26" s="210" t="e">
        <f aca="false">I26+L26+O26+R26-U26</f>
        <v>#N/A</v>
      </c>
      <c r="BA26" s="210" t="e">
        <f aca="false">J26+M26+P26+S26</f>
        <v>#N/A</v>
      </c>
      <c r="BF26" s="214" t="e">
        <f aca="false">VLOOKUP(C26-1,mix_electric,3,FALSE())</f>
        <v>#N/A</v>
      </c>
    </row>
    <row r="27" customFormat="false" ht="14.4" hidden="false" customHeight="false" outlineLevel="0" collapsed="false">
      <c r="B27" s="204" t="n">
        <v>16</v>
      </c>
      <c r="C27" s="205" t="n">
        <f aca="false">C26+1</f>
        <v>16</v>
      </c>
      <c r="D27" s="206" t="e">
        <f aca="false">VLOOKUP(C27-1,mix_electric,2,FALSE())</f>
        <v>#N/A</v>
      </c>
      <c r="E27" s="207" t="n">
        <f aca="false">'Emissions CO2'!$F$20</f>
        <v>0</v>
      </c>
      <c r="F27" s="207" t="e">
        <f aca="false">'Emissions CO2'!$F$22*IF(B27*$D$6&gt;1,1,B27*$D$6)*D27/'Factors d''emissió'!$C$7</f>
        <v>#N/A</v>
      </c>
      <c r="G27" s="207" t="n">
        <f aca="false">'Emissions CO2'!$F$26*$B$61*IF($D$6*B27&gt;1,0,$D$6)</f>
        <v>0</v>
      </c>
      <c r="H27" s="207" t="e">
        <f aca="false">'Emissions CO2'!$F$36*IF(B27*$D$6&gt;1,1,B27*$D$6)*(D27*'Factors d''emissió'!$C$34+'Factors d''emissió'!$C$35*'Factors d''emissió'!$C$10+'Factors d''emissió'!$C$36*'Factors d''emissió'!$C$11+'Factors d''emissió'!$C$37*'Factors d''emissió'!$C$12)</f>
        <v>#N/A</v>
      </c>
      <c r="I27" s="207" t="e">
        <f aca="false">(('Emissions CO2'!$G$47*D27)+('Emissions CO2'!$G$48*D27))*IF(B27*$D$6&gt;1,1,B27*$D$6)</f>
        <v>#N/A</v>
      </c>
      <c r="J27" s="207" t="e">
        <f aca="false">'Emissions CO2'!$F$61*IF(B27*$D$6&gt;1,1,B27*$D$6)*(1-BF27)/'Factors d''emissió'!$D$73</f>
        <v>#N/A</v>
      </c>
      <c r="K27" s="207" t="e">
        <f aca="false">'Emissions CO2'!$F$37*D27*IF(B27*$D$6&gt;1,1,B27*$D$6)</f>
        <v>#N/A</v>
      </c>
      <c r="L27" s="207" t="e">
        <f aca="false">(('Emissions CO2'!$G$49*D27)+('Emissions CO2'!$G$50*D27))*IF(B27*$D$6&gt;1,1,B27*$D$6)</f>
        <v>#N/A</v>
      </c>
      <c r="M27" s="207" t="e">
        <f aca="false">'Emissions CO2'!$F$62*IF(B27*$D$6&gt;1,1,B27*$D$6)*(1-BF27)/'Factors d''emissió'!$D$73</f>
        <v>#N/A</v>
      </c>
      <c r="N27" s="207" t="e">
        <f aca="false">'Emissions CO2'!$F$38*D27*IF(B27*$D$6&gt;1,1,B27*$D$6)</f>
        <v>#N/A</v>
      </c>
      <c r="O27" s="207" t="e">
        <f aca="false">(('Emissions CO2'!$G$51*D27)+('Emissions CO2'!$G$52*D27))*IF(B27*$D$6&gt;1,1,B27*$D$6)</f>
        <v>#N/A</v>
      </c>
      <c r="P27" s="207" t="e">
        <f aca="false">'Emissions CO2'!$F$63*IF(B27*$D$6&gt;1,1,B27*$D$6)*(1-BF27)/'Factors d''emissió'!$D$73</f>
        <v>#N/A</v>
      </c>
      <c r="Q27" s="207" t="e">
        <f aca="false">'Emissions CO2'!$F$39*IF(B27*$D$6&gt;1,1,B27*$D$6)*(D27*'Factors d''emissió'!$C$41+'Factors d''emissió'!$C$10*'Factors d''emissió'!$C$42+'Factors d''emissió'!$C$11*'Factors d''emissió'!$C$43+'Factors d''emissió'!$C$12*'Factors d''emissió'!$C$44)</f>
        <v>#N/A</v>
      </c>
      <c r="R27" s="207" t="e">
        <f aca="false">(('Emissions CO2'!$G$53*D27)+('Emissions CO2'!$G$54*D27))*IF(B27*$D$6&gt;1,1,B27*$D$6)</f>
        <v>#N/A</v>
      </c>
      <c r="S27" s="207" t="e">
        <f aca="false">'Emissions CO2'!$F$64*IF(B27*$D$6&gt;1,1,B27*$D$6)*(1-BF27)/'Factors d''emissió'!$D$73</f>
        <v>#N/A</v>
      </c>
      <c r="T27" s="208" t="e">
        <f aca="false">'Emissions CO2'!$F$40*D27</f>
        <v>#N/A</v>
      </c>
      <c r="U27" s="207" t="e">
        <f aca="false">(('Fixació CO2'!$F$14+'Fixació CO2'!$F$15)*D27*(1-'Factors d''emissió'!$E$55))*IF(B27*$D$6&gt;1,1,B27*$D$6)</f>
        <v>#N/A</v>
      </c>
      <c r="V27" s="207" t="n">
        <f aca="false">((Dades!$E$131*Dades!$E$130+Dades!$F$131*Dades!$F$130+Dades!$E$139*Dades!$E$138+Dades!$F$139*Dades!$F$138)*1000/20)+'Fixació CO2'!$F$21+'Fixació CO2'!$F$26*IF(B27*$D$6&gt;1,1,B27*$D$6)+(Dades!$F$121*('Factors d''emissió'!$C$154+('Factors d''emissió'!$C$156-'Factors d''emissió'!$C$154)*IF(B27*$D$6&gt;1,1,B27*$D$6))/10)+'Fixació CO2'!$F$22*IF(B27*$D$6&gt;1,1,B27*$D$6)</f>
        <v>0</v>
      </c>
      <c r="W27" s="207" t="e">
        <f aca="false">('Fixació CO2'!$F$40+'Fixació CO2'!$F$41+('Fixació CO2'!$F$39+'Fixació CO2'!$F$47+'Fixació CO2'!$F$48+'Fixació CO2'!$F$49)*IF(B27*$D$6&gt;1,1,B27*$D$6))*D27</f>
        <v>#N/A</v>
      </c>
      <c r="X27" s="207" t="n">
        <f aca="false">SUM('Fixació CO2'!$F$55:$F$57)</f>
        <v>0</v>
      </c>
      <c r="Y27" s="207" t="e">
        <f aca="false">(SUM(E27:T27)-U27)/1000</f>
        <v>#N/A</v>
      </c>
      <c r="Z27" s="207" t="e">
        <f aca="false">(V27+W27+X27)/1000</f>
        <v>#N/A</v>
      </c>
      <c r="AA27" s="207" t="e">
        <f aca="false">Y27-Z27</f>
        <v>#N/A</v>
      </c>
      <c r="AB27" s="207" t="e">
        <f aca="false">AA27*1000/ABS(Dades!$F$7)</f>
        <v>#N/A</v>
      </c>
      <c r="AC27" s="207" t="e">
        <f aca="false">AB27*10</f>
        <v>#N/A</v>
      </c>
      <c r="AD27" s="209"/>
      <c r="AE27" s="210" t="n">
        <f aca="false">C27</f>
        <v>16</v>
      </c>
      <c r="AF27" s="207" t="e">
        <f aca="false">AF26+Y27</f>
        <v>#N/A</v>
      </c>
      <c r="AG27" s="207" t="e">
        <f aca="false">AG26+Z27</f>
        <v>#N/A</v>
      </c>
      <c r="AH27" s="207" t="e">
        <f aca="false">AF27-AG27</f>
        <v>#N/A</v>
      </c>
      <c r="AJ27" s="207" t="e">
        <f aca="false">(SUM(E27:T27)-U27-F27-G27)/1000</f>
        <v>#N/A</v>
      </c>
      <c r="AK27" s="207" t="e">
        <f aca="false">(V27+W27+X27)/1000</f>
        <v>#N/A</v>
      </c>
      <c r="AL27" s="211"/>
      <c r="AM27" s="207" t="e">
        <f aca="false">AJ27-AK27</f>
        <v>#N/A</v>
      </c>
      <c r="AN27" s="207" t="e">
        <f aca="false">AM27*1000/ABS(Dades!$F$7)</f>
        <v>#N/A</v>
      </c>
      <c r="AO27" s="207" t="e">
        <f aca="false">AN27*10</f>
        <v>#N/A</v>
      </c>
      <c r="AQ27" s="207" t="e">
        <f aca="false">AQ26+AJ27</f>
        <v>#N/A</v>
      </c>
      <c r="AR27" s="207" t="e">
        <f aca="false">AR26+AK27</f>
        <v>#N/A</v>
      </c>
      <c r="AS27" s="207" t="e">
        <f aca="false">AQ27-AR27</f>
        <v>#N/A</v>
      </c>
      <c r="AU27" s="210" t="n">
        <f aca="false">C27</f>
        <v>16</v>
      </c>
      <c r="AV27" s="212" t="n">
        <f aca="false">E27</f>
        <v>0</v>
      </c>
      <c r="AW27" s="212" t="e">
        <f aca="false">F27</f>
        <v>#N/A</v>
      </c>
      <c r="AX27" s="212" t="n">
        <f aca="false">G27</f>
        <v>0</v>
      </c>
      <c r="AY27" s="210" t="e">
        <f aca="false">H27+K27+N27+Q27+T27</f>
        <v>#N/A</v>
      </c>
      <c r="AZ27" s="210" t="e">
        <f aca="false">I27+L27+O27+R27-U27</f>
        <v>#N/A</v>
      </c>
      <c r="BA27" s="210" t="e">
        <f aca="false">J27+M27+P27+S27</f>
        <v>#N/A</v>
      </c>
      <c r="BF27" s="214" t="e">
        <f aca="false">VLOOKUP(C27-1,mix_electric,3,FALSE())</f>
        <v>#N/A</v>
      </c>
    </row>
    <row r="28" customFormat="false" ht="14.4" hidden="false" customHeight="false" outlineLevel="0" collapsed="false">
      <c r="B28" s="204" t="n">
        <v>17</v>
      </c>
      <c r="C28" s="205" t="n">
        <f aca="false">C27+1</f>
        <v>17</v>
      </c>
      <c r="D28" s="206" t="e">
        <f aca="false">VLOOKUP(C28-1,mix_electric,2,FALSE())</f>
        <v>#N/A</v>
      </c>
      <c r="E28" s="207" t="n">
        <f aca="false">'Emissions CO2'!$F$20</f>
        <v>0</v>
      </c>
      <c r="F28" s="207" t="e">
        <f aca="false">'Emissions CO2'!$F$22*IF(B28*$D$6&gt;1,1,B28*$D$6)*D28/'Factors d''emissió'!$C$7</f>
        <v>#N/A</v>
      </c>
      <c r="G28" s="207" t="n">
        <f aca="false">'Emissions CO2'!$F$26*$B$61*IF($D$6*B28&gt;1,0,$D$6)</f>
        <v>0</v>
      </c>
      <c r="H28" s="207" t="e">
        <f aca="false">'Emissions CO2'!$F$36*IF(B28*$D$6&gt;1,1,B28*$D$6)*(D28*'Factors d''emissió'!$C$34+'Factors d''emissió'!$C$35*'Factors d''emissió'!$C$10+'Factors d''emissió'!$C$36*'Factors d''emissió'!$C$11+'Factors d''emissió'!$C$37*'Factors d''emissió'!$C$12)</f>
        <v>#N/A</v>
      </c>
      <c r="I28" s="207" t="e">
        <f aca="false">(('Emissions CO2'!$G$47*D28)+('Emissions CO2'!$G$48*D28))*IF(B28*$D$6&gt;1,1,B28*$D$6)</f>
        <v>#N/A</v>
      </c>
      <c r="J28" s="207" t="e">
        <f aca="false">'Emissions CO2'!$F$61*IF(B28*$D$6&gt;1,1,B28*$D$6)*(1-BF28)/'Factors d''emissió'!$D$73</f>
        <v>#N/A</v>
      </c>
      <c r="K28" s="207" t="e">
        <f aca="false">'Emissions CO2'!$F$37*D28*IF(B28*$D$6&gt;1,1,B28*$D$6)</f>
        <v>#N/A</v>
      </c>
      <c r="L28" s="207" t="e">
        <f aca="false">(('Emissions CO2'!$G$49*D28)+('Emissions CO2'!$G$50*D28))*IF(B28*$D$6&gt;1,1,B28*$D$6)</f>
        <v>#N/A</v>
      </c>
      <c r="M28" s="207" t="e">
        <f aca="false">'Emissions CO2'!$F$62*IF(B28*$D$6&gt;1,1,B28*$D$6)*(1-BF28)/'Factors d''emissió'!$D$73</f>
        <v>#N/A</v>
      </c>
      <c r="N28" s="207" t="e">
        <f aca="false">'Emissions CO2'!$F$38*D28*IF(B28*$D$6&gt;1,1,B28*$D$6)</f>
        <v>#N/A</v>
      </c>
      <c r="O28" s="207" t="e">
        <f aca="false">(('Emissions CO2'!$G$51*D28)+('Emissions CO2'!$G$52*D28))*IF(B28*$D$6&gt;1,1,B28*$D$6)</f>
        <v>#N/A</v>
      </c>
      <c r="P28" s="207" t="e">
        <f aca="false">'Emissions CO2'!$F$63*IF(B28*$D$6&gt;1,1,B28*$D$6)*(1-BF28)/'Factors d''emissió'!$D$73</f>
        <v>#N/A</v>
      </c>
      <c r="Q28" s="207" t="e">
        <f aca="false">'Emissions CO2'!$F$39*IF(B28*$D$6&gt;1,1,B28*$D$6)*(D28*'Factors d''emissió'!$C$41+'Factors d''emissió'!$C$10*'Factors d''emissió'!$C$42+'Factors d''emissió'!$C$11*'Factors d''emissió'!$C$43+'Factors d''emissió'!$C$12*'Factors d''emissió'!$C$44)</f>
        <v>#N/A</v>
      </c>
      <c r="R28" s="207" t="e">
        <f aca="false">(('Emissions CO2'!$G$53*D28)+('Emissions CO2'!$G$54*D28))*IF(B28*$D$6&gt;1,1,B28*$D$6)</f>
        <v>#N/A</v>
      </c>
      <c r="S28" s="207" t="e">
        <f aca="false">'Emissions CO2'!$F$64*IF(B28*$D$6&gt;1,1,B28*$D$6)*(1-BF28)/'Factors d''emissió'!$D$73</f>
        <v>#N/A</v>
      </c>
      <c r="T28" s="208" t="e">
        <f aca="false">'Emissions CO2'!$F$40*D28</f>
        <v>#N/A</v>
      </c>
      <c r="U28" s="207" t="e">
        <f aca="false">(('Fixació CO2'!$F$14+'Fixació CO2'!$F$15)*D28*(1-'Factors d''emissió'!$E$55))*IF(B28*$D$6&gt;1,1,B28*$D$6)</f>
        <v>#N/A</v>
      </c>
      <c r="V28" s="207" t="n">
        <f aca="false">((Dades!$E$131*Dades!$E$130+Dades!$F$131*Dades!$F$130+Dades!$E$139*Dades!$E$138+Dades!$F$139*Dades!$F$138)*1000/20)+'Fixació CO2'!$F$21+'Fixació CO2'!$F$26*IF(B28*$D$6&gt;1,1,B28*$D$6)+(Dades!$F$121*('Factors d''emissió'!$C$154+('Factors d''emissió'!$C$156-'Factors d''emissió'!$C$154)*IF(B28*$D$6&gt;1,1,B28*$D$6))/10)+'Fixació CO2'!$F$22*IF(B28*$D$6&gt;1,1,B28*$D$6)</f>
        <v>0</v>
      </c>
      <c r="W28" s="207" t="e">
        <f aca="false">('Fixació CO2'!$F$40+'Fixació CO2'!$F$41+('Fixació CO2'!$F$39+'Fixació CO2'!$F$47+'Fixació CO2'!$F$48+'Fixació CO2'!$F$49)*IF(B28*$D$6&gt;1,1,B28*$D$6))*D28</f>
        <v>#N/A</v>
      </c>
      <c r="X28" s="207" t="n">
        <f aca="false">SUM('Fixació CO2'!$F$55:$F$57)</f>
        <v>0</v>
      </c>
      <c r="Y28" s="207" t="e">
        <f aca="false">(SUM(E28:T28)-U28)/1000</f>
        <v>#N/A</v>
      </c>
      <c r="Z28" s="207" t="e">
        <f aca="false">(V28+W28+X28)/1000</f>
        <v>#N/A</v>
      </c>
      <c r="AA28" s="207" t="e">
        <f aca="false">Y28-Z28</f>
        <v>#N/A</v>
      </c>
      <c r="AB28" s="207" t="e">
        <f aca="false">AA28*1000/ABS(Dades!$F$7)</f>
        <v>#N/A</v>
      </c>
      <c r="AC28" s="207" t="e">
        <f aca="false">AB28*10</f>
        <v>#N/A</v>
      </c>
      <c r="AD28" s="209"/>
      <c r="AE28" s="210" t="n">
        <f aca="false">C28</f>
        <v>17</v>
      </c>
      <c r="AF28" s="207" t="e">
        <f aca="false">AF27+Y28</f>
        <v>#N/A</v>
      </c>
      <c r="AG28" s="207" t="e">
        <f aca="false">AG27+Z28</f>
        <v>#N/A</v>
      </c>
      <c r="AH28" s="207" t="e">
        <f aca="false">AF28-AG28</f>
        <v>#N/A</v>
      </c>
      <c r="AJ28" s="207" t="e">
        <f aca="false">(SUM(E28:T28)-U28-F28-G28)/1000</f>
        <v>#N/A</v>
      </c>
      <c r="AK28" s="207" t="e">
        <f aca="false">(V28+W28+X28)/1000</f>
        <v>#N/A</v>
      </c>
      <c r="AL28" s="211"/>
      <c r="AM28" s="207" t="e">
        <f aca="false">AJ28-AK28</f>
        <v>#N/A</v>
      </c>
      <c r="AN28" s="207" t="e">
        <f aca="false">AM28*1000/ABS(Dades!$F$7)</f>
        <v>#N/A</v>
      </c>
      <c r="AO28" s="207" t="e">
        <f aca="false">AN28*10</f>
        <v>#N/A</v>
      </c>
      <c r="AQ28" s="207" t="e">
        <f aca="false">AQ27+AJ28</f>
        <v>#N/A</v>
      </c>
      <c r="AR28" s="207" t="e">
        <f aca="false">AR27+AK28</f>
        <v>#N/A</v>
      </c>
      <c r="AS28" s="207" t="e">
        <f aca="false">AQ28-AR28</f>
        <v>#N/A</v>
      </c>
      <c r="AU28" s="210" t="n">
        <f aca="false">C28</f>
        <v>17</v>
      </c>
      <c r="AV28" s="212" t="n">
        <f aca="false">E28</f>
        <v>0</v>
      </c>
      <c r="AW28" s="212" t="e">
        <f aca="false">F28</f>
        <v>#N/A</v>
      </c>
      <c r="AX28" s="212" t="n">
        <f aca="false">G28</f>
        <v>0</v>
      </c>
      <c r="AY28" s="210" t="e">
        <f aca="false">H28+K28+N28+Q28+T28</f>
        <v>#N/A</v>
      </c>
      <c r="AZ28" s="210" t="e">
        <f aca="false">I28+L28+O28+R28-U28</f>
        <v>#N/A</v>
      </c>
      <c r="BA28" s="210" t="e">
        <f aca="false">J28+M28+P28+S28</f>
        <v>#N/A</v>
      </c>
      <c r="BF28" s="214" t="e">
        <f aca="false">VLOOKUP(C28-1,mix_electric,3,FALSE())</f>
        <v>#N/A</v>
      </c>
    </row>
    <row r="29" customFormat="false" ht="14.4" hidden="false" customHeight="false" outlineLevel="0" collapsed="false">
      <c r="B29" s="204" t="n">
        <v>18</v>
      </c>
      <c r="C29" s="205" t="n">
        <f aca="false">C28+1</f>
        <v>18</v>
      </c>
      <c r="D29" s="206" t="e">
        <f aca="false">VLOOKUP(C29-1,mix_electric,2,FALSE())</f>
        <v>#N/A</v>
      </c>
      <c r="E29" s="207" t="n">
        <f aca="false">'Emissions CO2'!$F$20</f>
        <v>0</v>
      </c>
      <c r="F29" s="207" t="e">
        <f aca="false">'Emissions CO2'!$F$22*IF(B29*$D$6&gt;1,1,B29*$D$6)*D29/'Factors d''emissió'!$C$7</f>
        <v>#N/A</v>
      </c>
      <c r="G29" s="207" t="n">
        <f aca="false">'Emissions CO2'!$F$26*$B$61*IF($D$6*B29&gt;1,0,$D$6)</f>
        <v>0</v>
      </c>
      <c r="H29" s="207" t="e">
        <f aca="false">'Emissions CO2'!$F$36*IF(B29*$D$6&gt;1,1,B29*$D$6)*(D29*'Factors d''emissió'!$C$34+'Factors d''emissió'!$C$35*'Factors d''emissió'!$C$10+'Factors d''emissió'!$C$36*'Factors d''emissió'!$C$11+'Factors d''emissió'!$C$37*'Factors d''emissió'!$C$12)</f>
        <v>#N/A</v>
      </c>
      <c r="I29" s="207" t="e">
        <f aca="false">(('Emissions CO2'!$G$47*D29)+('Emissions CO2'!$G$48*D29))*IF(B29*$D$6&gt;1,1,B29*$D$6)</f>
        <v>#N/A</v>
      </c>
      <c r="J29" s="207" t="e">
        <f aca="false">'Emissions CO2'!$F$61*IF(B29*$D$6&gt;1,1,B29*$D$6)*(1-BF29)/'Factors d''emissió'!$D$73</f>
        <v>#N/A</v>
      </c>
      <c r="K29" s="207" t="e">
        <f aca="false">'Emissions CO2'!$F$37*D29*IF(B29*$D$6&gt;1,1,B29*$D$6)</f>
        <v>#N/A</v>
      </c>
      <c r="L29" s="207" t="e">
        <f aca="false">(('Emissions CO2'!$G$49*D29)+('Emissions CO2'!$G$50*D29))*IF(B29*$D$6&gt;1,1,B29*$D$6)</f>
        <v>#N/A</v>
      </c>
      <c r="M29" s="207" t="e">
        <f aca="false">'Emissions CO2'!$F$62*IF(B29*$D$6&gt;1,1,B29*$D$6)*(1-BF29)/'Factors d''emissió'!$D$73</f>
        <v>#N/A</v>
      </c>
      <c r="N29" s="207" t="e">
        <f aca="false">'Emissions CO2'!$F$38*D29*IF(B29*$D$6&gt;1,1,B29*$D$6)</f>
        <v>#N/A</v>
      </c>
      <c r="O29" s="207" t="e">
        <f aca="false">(('Emissions CO2'!$G$51*D29)+('Emissions CO2'!$G$52*D29))*IF(B29*$D$6&gt;1,1,B29*$D$6)</f>
        <v>#N/A</v>
      </c>
      <c r="P29" s="207" t="e">
        <f aca="false">'Emissions CO2'!$F$63*IF(B29*$D$6&gt;1,1,B29*$D$6)*(1-BF29)/'Factors d''emissió'!$D$73</f>
        <v>#N/A</v>
      </c>
      <c r="Q29" s="207" t="e">
        <f aca="false">'Emissions CO2'!$F$39*IF(B29*$D$6&gt;1,1,B29*$D$6)*(D29*'Factors d''emissió'!$C$41+'Factors d''emissió'!$C$10*'Factors d''emissió'!$C$42+'Factors d''emissió'!$C$11*'Factors d''emissió'!$C$43+'Factors d''emissió'!$C$12*'Factors d''emissió'!$C$44)</f>
        <v>#N/A</v>
      </c>
      <c r="R29" s="207" t="e">
        <f aca="false">(('Emissions CO2'!$G$53*D29)+('Emissions CO2'!$G$54*D29))*IF(B29*$D$6&gt;1,1,B29*$D$6)</f>
        <v>#N/A</v>
      </c>
      <c r="S29" s="207" t="e">
        <f aca="false">'Emissions CO2'!$F$64*IF(B29*$D$6&gt;1,1,B29*$D$6)*(1-BF29)/'Factors d''emissió'!$D$73</f>
        <v>#N/A</v>
      </c>
      <c r="T29" s="208" t="e">
        <f aca="false">'Emissions CO2'!$F$40*D29</f>
        <v>#N/A</v>
      </c>
      <c r="U29" s="207" t="e">
        <f aca="false">(('Fixació CO2'!$F$14+'Fixació CO2'!$F$15)*D29*(1-'Factors d''emissió'!$E$55))*IF(B29*$D$6&gt;1,1,B29*$D$6)</f>
        <v>#N/A</v>
      </c>
      <c r="V29" s="207" t="n">
        <f aca="false">((Dades!$E$131*Dades!$E$130+Dades!$F$131*Dades!$F$130+Dades!$E$139*Dades!$E$138+Dades!$F$139*Dades!$F$138)*1000/20)+'Fixació CO2'!$F$21+'Fixació CO2'!$F$26*IF(B29*$D$6&gt;1,1,B29*$D$6)+(Dades!$F$121*('Factors d''emissió'!$C$154+('Factors d''emissió'!$C$156-'Factors d''emissió'!$C$154)*IF(B29*$D$6&gt;1,1,B29*$D$6))/10)+'Fixació CO2'!$F$22*IF(B29*$D$6&gt;1,1,B29*$D$6)</f>
        <v>0</v>
      </c>
      <c r="W29" s="207" t="e">
        <f aca="false">('Fixació CO2'!$F$40+'Fixació CO2'!$F$41+('Fixació CO2'!$F$39+'Fixació CO2'!$F$47+'Fixació CO2'!$F$48+'Fixació CO2'!$F$49)*IF(B29*$D$6&gt;1,1,B29*$D$6))*D29</f>
        <v>#N/A</v>
      </c>
      <c r="X29" s="207" t="n">
        <f aca="false">SUM('Fixació CO2'!$F$55:$F$57)</f>
        <v>0</v>
      </c>
      <c r="Y29" s="207" t="e">
        <f aca="false">(SUM(E29:T29)-U29)/1000</f>
        <v>#N/A</v>
      </c>
      <c r="Z29" s="207" t="e">
        <f aca="false">(V29+W29+X29)/1000</f>
        <v>#N/A</v>
      </c>
      <c r="AA29" s="207" t="e">
        <f aca="false">Y29-Z29</f>
        <v>#N/A</v>
      </c>
      <c r="AB29" s="207" t="e">
        <f aca="false">AA29*1000/ABS(Dades!$F$7)</f>
        <v>#N/A</v>
      </c>
      <c r="AC29" s="207" t="e">
        <f aca="false">AB29*10</f>
        <v>#N/A</v>
      </c>
      <c r="AD29" s="209"/>
      <c r="AE29" s="210" t="n">
        <f aca="false">C29</f>
        <v>18</v>
      </c>
      <c r="AF29" s="207" t="e">
        <f aca="false">AF28+Y29</f>
        <v>#N/A</v>
      </c>
      <c r="AG29" s="207" t="e">
        <f aca="false">AG28+Z29</f>
        <v>#N/A</v>
      </c>
      <c r="AH29" s="207" t="e">
        <f aca="false">AF29-AG29</f>
        <v>#N/A</v>
      </c>
      <c r="AJ29" s="207" t="e">
        <f aca="false">(SUM(E29:T29)-U29-F29-G29)/1000</f>
        <v>#N/A</v>
      </c>
      <c r="AK29" s="207" t="e">
        <f aca="false">(V29+W29+X29)/1000</f>
        <v>#N/A</v>
      </c>
      <c r="AL29" s="211"/>
      <c r="AM29" s="207" t="e">
        <f aca="false">AJ29-AK29</f>
        <v>#N/A</v>
      </c>
      <c r="AN29" s="207" t="e">
        <f aca="false">AM29*1000/ABS(Dades!$F$7)</f>
        <v>#N/A</v>
      </c>
      <c r="AO29" s="207" t="e">
        <f aca="false">AN29*10</f>
        <v>#N/A</v>
      </c>
      <c r="AQ29" s="207" t="e">
        <f aca="false">AQ28+AJ29</f>
        <v>#N/A</v>
      </c>
      <c r="AR29" s="207" t="e">
        <f aca="false">AR28+AK29</f>
        <v>#N/A</v>
      </c>
      <c r="AS29" s="207" t="e">
        <f aca="false">AQ29-AR29</f>
        <v>#N/A</v>
      </c>
      <c r="AU29" s="210" t="n">
        <f aca="false">C29</f>
        <v>18</v>
      </c>
      <c r="AV29" s="212" t="n">
        <f aca="false">E29</f>
        <v>0</v>
      </c>
      <c r="AW29" s="212" t="e">
        <f aca="false">F29</f>
        <v>#N/A</v>
      </c>
      <c r="AX29" s="212" t="n">
        <f aca="false">G29</f>
        <v>0</v>
      </c>
      <c r="AY29" s="210" t="e">
        <f aca="false">H29+K29+N29+Q29+T29</f>
        <v>#N/A</v>
      </c>
      <c r="AZ29" s="210" t="e">
        <f aca="false">I29+L29+O29+R29-U29</f>
        <v>#N/A</v>
      </c>
      <c r="BA29" s="210" t="e">
        <f aca="false">J29+M29+P29+S29</f>
        <v>#N/A</v>
      </c>
      <c r="BF29" s="214" t="e">
        <f aca="false">VLOOKUP(C29-1,mix_electric,3,FALSE())</f>
        <v>#N/A</v>
      </c>
    </row>
    <row r="30" customFormat="false" ht="14.4" hidden="false" customHeight="false" outlineLevel="0" collapsed="false">
      <c r="B30" s="204" t="n">
        <v>19</v>
      </c>
      <c r="C30" s="205" t="n">
        <f aca="false">C29+1</f>
        <v>19</v>
      </c>
      <c r="D30" s="206" t="e">
        <f aca="false">VLOOKUP(C30-1,mix_electric,2,FALSE())</f>
        <v>#N/A</v>
      </c>
      <c r="E30" s="207" t="n">
        <f aca="false">'Emissions CO2'!$F$20</f>
        <v>0</v>
      </c>
      <c r="F30" s="207" t="e">
        <f aca="false">'Emissions CO2'!$F$22*IF(B30*$D$6&gt;1,1,B30*$D$6)*D30/'Factors d''emissió'!$C$7</f>
        <v>#N/A</v>
      </c>
      <c r="G30" s="207" t="n">
        <f aca="false">'Emissions CO2'!$F$26*$B$61*IF($D$6*B30&gt;1,0,$D$6)</f>
        <v>0</v>
      </c>
      <c r="H30" s="207" t="e">
        <f aca="false">'Emissions CO2'!$F$36*IF(B30*$D$6&gt;1,1,B30*$D$6)*(D30*'Factors d''emissió'!$C$34+'Factors d''emissió'!$C$35*'Factors d''emissió'!$C$10+'Factors d''emissió'!$C$36*'Factors d''emissió'!$C$11+'Factors d''emissió'!$C$37*'Factors d''emissió'!$C$12)</f>
        <v>#N/A</v>
      </c>
      <c r="I30" s="207" t="e">
        <f aca="false">(('Emissions CO2'!$G$47*D30)+('Emissions CO2'!$G$48*D30))*IF(B30*$D$6&gt;1,1,B30*$D$6)</f>
        <v>#N/A</v>
      </c>
      <c r="J30" s="207" t="e">
        <f aca="false">'Emissions CO2'!$F$61*IF(B30*$D$6&gt;1,1,B30*$D$6)*(1-BF30)/'Factors d''emissió'!$D$73</f>
        <v>#N/A</v>
      </c>
      <c r="K30" s="207" t="e">
        <f aca="false">'Emissions CO2'!$F$37*D30*IF(B30*$D$6&gt;1,1,B30*$D$6)</f>
        <v>#N/A</v>
      </c>
      <c r="L30" s="207" t="e">
        <f aca="false">(('Emissions CO2'!$G$49*D30)+('Emissions CO2'!$G$50*D30))*IF(B30*$D$6&gt;1,1,B30*$D$6)</f>
        <v>#N/A</v>
      </c>
      <c r="M30" s="207" t="e">
        <f aca="false">'Emissions CO2'!$F$62*IF(B30*$D$6&gt;1,1,B30*$D$6)*(1-BF30)/'Factors d''emissió'!$D$73</f>
        <v>#N/A</v>
      </c>
      <c r="N30" s="207" t="e">
        <f aca="false">'Emissions CO2'!$F$38*D30*IF(B30*$D$6&gt;1,1,B30*$D$6)</f>
        <v>#N/A</v>
      </c>
      <c r="O30" s="207" t="e">
        <f aca="false">(('Emissions CO2'!$G$51*D30)+('Emissions CO2'!$G$52*D30))*IF(B30*$D$6&gt;1,1,B30*$D$6)</f>
        <v>#N/A</v>
      </c>
      <c r="P30" s="207" t="e">
        <f aca="false">'Emissions CO2'!$F$63*IF(B30*$D$6&gt;1,1,B30*$D$6)*(1-BF30)/'Factors d''emissió'!$D$73</f>
        <v>#N/A</v>
      </c>
      <c r="Q30" s="207" t="e">
        <f aca="false">'Emissions CO2'!$F$39*IF(B30*$D$6&gt;1,1,B30*$D$6)*(D30*'Factors d''emissió'!$C$41+'Factors d''emissió'!$C$10*'Factors d''emissió'!$C$42+'Factors d''emissió'!$C$11*'Factors d''emissió'!$C$43+'Factors d''emissió'!$C$12*'Factors d''emissió'!$C$44)</f>
        <v>#N/A</v>
      </c>
      <c r="R30" s="207" t="e">
        <f aca="false">(('Emissions CO2'!$G$53*D30)+('Emissions CO2'!$G$54*D30))*IF(B30*$D$6&gt;1,1,B30*$D$6)</f>
        <v>#N/A</v>
      </c>
      <c r="S30" s="207" t="e">
        <f aca="false">'Emissions CO2'!$F$64*IF(B30*$D$6&gt;1,1,B30*$D$6)*(1-BF30)/'Factors d''emissió'!$D$73</f>
        <v>#N/A</v>
      </c>
      <c r="T30" s="208" t="e">
        <f aca="false">'Emissions CO2'!$F$40*D30</f>
        <v>#N/A</v>
      </c>
      <c r="U30" s="207" t="e">
        <f aca="false">(('Fixació CO2'!$F$14+'Fixació CO2'!$F$15)*D30*(1-'Factors d''emissió'!$E$55))*IF(B30*$D$6&gt;1,1,B30*$D$6)</f>
        <v>#N/A</v>
      </c>
      <c r="V30" s="207" t="n">
        <f aca="false">((Dades!$E$131*Dades!$E$130+Dades!$F$131*Dades!$F$130+Dades!$E$139*Dades!$E$138+Dades!$F$139*Dades!$F$138)*1000/20)+'Fixació CO2'!$F$21+'Fixació CO2'!$F$26*IF(B30*$D$6&gt;1,1,B30*$D$6)+(Dades!$F$121*('Factors d''emissió'!$C$154+('Factors d''emissió'!$C$156-'Factors d''emissió'!$C$154)*IF(B30*$D$6&gt;1,1,B30*$D$6))/10)+'Fixació CO2'!$F$22*IF(B30*$D$6&gt;1,1,B30*$D$6)</f>
        <v>0</v>
      </c>
      <c r="W30" s="207" t="e">
        <f aca="false">('Fixació CO2'!$F$40+'Fixació CO2'!$F$41+('Fixació CO2'!$F$39+'Fixació CO2'!$F$47+'Fixació CO2'!$F$48+'Fixació CO2'!$F$49)*IF(B30*$D$6&gt;1,1,B30*$D$6))*D30</f>
        <v>#N/A</v>
      </c>
      <c r="X30" s="207" t="n">
        <f aca="false">SUM('Fixació CO2'!$F$55:$F$57)</f>
        <v>0</v>
      </c>
      <c r="Y30" s="207" t="e">
        <f aca="false">(SUM(E30:T30)-U30)/1000</f>
        <v>#N/A</v>
      </c>
      <c r="Z30" s="207" t="e">
        <f aca="false">(V30+W30+X30)/1000</f>
        <v>#N/A</v>
      </c>
      <c r="AA30" s="207" t="e">
        <f aca="false">Y30-Z30</f>
        <v>#N/A</v>
      </c>
      <c r="AB30" s="207" t="e">
        <f aca="false">AA30*1000/ABS(Dades!$F$7)</f>
        <v>#N/A</v>
      </c>
      <c r="AC30" s="207" t="e">
        <f aca="false">AB30*10</f>
        <v>#N/A</v>
      </c>
      <c r="AD30" s="209"/>
      <c r="AE30" s="210" t="n">
        <f aca="false">C30</f>
        <v>19</v>
      </c>
      <c r="AF30" s="207" t="e">
        <f aca="false">AF29+Y30</f>
        <v>#N/A</v>
      </c>
      <c r="AG30" s="207" t="e">
        <f aca="false">AG29+Z30</f>
        <v>#N/A</v>
      </c>
      <c r="AH30" s="207" t="e">
        <f aca="false">AF30-AG30</f>
        <v>#N/A</v>
      </c>
      <c r="AJ30" s="207" t="e">
        <f aca="false">(SUM(E30:T30)-U30-F30-G30)/1000</f>
        <v>#N/A</v>
      </c>
      <c r="AK30" s="207" t="e">
        <f aca="false">(V30+W30+X30)/1000</f>
        <v>#N/A</v>
      </c>
      <c r="AL30" s="211"/>
      <c r="AM30" s="207" t="e">
        <f aca="false">AJ30-AK30</f>
        <v>#N/A</v>
      </c>
      <c r="AN30" s="207" t="e">
        <f aca="false">AM30*1000/ABS(Dades!$F$7)</f>
        <v>#N/A</v>
      </c>
      <c r="AO30" s="207" t="e">
        <f aca="false">AN30*10</f>
        <v>#N/A</v>
      </c>
      <c r="AQ30" s="207" t="e">
        <f aca="false">AQ29+AJ30</f>
        <v>#N/A</v>
      </c>
      <c r="AR30" s="207" t="e">
        <f aca="false">AR29+AK30</f>
        <v>#N/A</v>
      </c>
      <c r="AS30" s="207" t="e">
        <f aca="false">AQ30-AR30</f>
        <v>#N/A</v>
      </c>
      <c r="AU30" s="210" t="n">
        <f aca="false">C30</f>
        <v>19</v>
      </c>
      <c r="AV30" s="212" t="n">
        <f aca="false">E30</f>
        <v>0</v>
      </c>
      <c r="AW30" s="212" t="e">
        <f aca="false">F30</f>
        <v>#N/A</v>
      </c>
      <c r="AX30" s="212" t="n">
        <f aca="false">G30</f>
        <v>0</v>
      </c>
      <c r="AY30" s="210" t="e">
        <f aca="false">H30+K30+N30+Q30+T30</f>
        <v>#N/A</v>
      </c>
      <c r="AZ30" s="210" t="e">
        <f aca="false">I30+L30+O30+R30-U30</f>
        <v>#N/A</v>
      </c>
      <c r="BA30" s="210" t="e">
        <f aca="false">J30+M30+P30+S30</f>
        <v>#N/A</v>
      </c>
      <c r="BF30" s="214" t="e">
        <f aca="false">VLOOKUP(C30-1,mix_electric,3,FALSE())</f>
        <v>#N/A</v>
      </c>
    </row>
    <row r="31" customFormat="false" ht="14.4" hidden="false" customHeight="false" outlineLevel="0" collapsed="false">
      <c r="B31" s="204" t="n">
        <v>20</v>
      </c>
      <c r="C31" s="205" t="n">
        <f aca="false">C30+1</f>
        <v>20</v>
      </c>
      <c r="D31" s="206" t="e">
        <f aca="false">VLOOKUP(C31-1,mix_electric,2,FALSE())</f>
        <v>#N/A</v>
      </c>
      <c r="E31" s="207" t="n">
        <f aca="false">'Emissions CO2'!$F$20</f>
        <v>0</v>
      </c>
      <c r="F31" s="207" t="e">
        <f aca="false">'Emissions CO2'!$F$22*IF(B31*$D$6&gt;1,1,B31*$D$6)*D31/'Factors d''emissió'!$C$7</f>
        <v>#N/A</v>
      </c>
      <c r="G31" s="207" t="n">
        <f aca="false">'Emissions CO2'!$F$26*$B$61*IF($D$6*B31&gt;1,0,$D$6)</f>
        <v>0</v>
      </c>
      <c r="H31" s="207" t="e">
        <f aca="false">'Emissions CO2'!$F$36*IF(B31*$D$6&gt;1,1,B31*$D$6)*(D31*'Factors d''emissió'!$C$34+'Factors d''emissió'!$C$35*'Factors d''emissió'!$C$10+'Factors d''emissió'!$C$36*'Factors d''emissió'!$C$11+'Factors d''emissió'!$C$37*'Factors d''emissió'!$C$12)</f>
        <v>#N/A</v>
      </c>
      <c r="I31" s="207" t="e">
        <f aca="false">(('Emissions CO2'!$G$47*D31)+('Emissions CO2'!$G$48*D31))*IF(B31*$D$6&gt;1,1,B31*$D$6)</f>
        <v>#N/A</v>
      </c>
      <c r="J31" s="207" t="e">
        <f aca="false">'Emissions CO2'!$F$61*IF(B31*$D$6&gt;1,1,B31*$D$6)*(1-BF31)/'Factors d''emissió'!$D$73</f>
        <v>#N/A</v>
      </c>
      <c r="K31" s="207" t="e">
        <f aca="false">'Emissions CO2'!$F$37*D31*IF(B31*$D$6&gt;1,1,B31*$D$6)</f>
        <v>#N/A</v>
      </c>
      <c r="L31" s="207" t="e">
        <f aca="false">(('Emissions CO2'!$G$49*D31)+('Emissions CO2'!$G$50*D31))*IF(B31*$D$6&gt;1,1,B31*$D$6)</f>
        <v>#N/A</v>
      </c>
      <c r="M31" s="207" t="e">
        <f aca="false">'Emissions CO2'!$F$62*IF(B31*$D$6&gt;1,1,B31*$D$6)*(1-BF31)/'Factors d''emissió'!$D$73</f>
        <v>#N/A</v>
      </c>
      <c r="N31" s="207" t="e">
        <f aca="false">'Emissions CO2'!$F$38*D31*IF(B31*$D$6&gt;1,1,B31*$D$6)</f>
        <v>#N/A</v>
      </c>
      <c r="O31" s="207" t="e">
        <f aca="false">(('Emissions CO2'!$G$51*D31)+('Emissions CO2'!$G$52*D31))*IF(B31*$D$6&gt;1,1,B31*$D$6)</f>
        <v>#N/A</v>
      </c>
      <c r="P31" s="207" t="e">
        <f aca="false">'Emissions CO2'!$F$63*IF(B31*$D$6&gt;1,1,B31*$D$6)*(1-BF31)/'Factors d''emissió'!$D$73</f>
        <v>#N/A</v>
      </c>
      <c r="Q31" s="207" t="e">
        <f aca="false">'Emissions CO2'!$F$39*IF(B31*$D$6&gt;1,1,B31*$D$6)*(D31*'Factors d''emissió'!$C$41+'Factors d''emissió'!$C$10*'Factors d''emissió'!$C$42+'Factors d''emissió'!$C$11*'Factors d''emissió'!$C$43+'Factors d''emissió'!$C$12*'Factors d''emissió'!$C$44)</f>
        <v>#N/A</v>
      </c>
      <c r="R31" s="207" t="e">
        <f aca="false">(('Emissions CO2'!$G$53*D31)+('Emissions CO2'!$G$54*D31))*IF(B31*$D$6&gt;1,1,B31*$D$6)</f>
        <v>#N/A</v>
      </c>
      <c r="S31" s="207" t="e">
        <f aca="false">'Emissions CO2'!$F$64*IF(B31*$D$6&gt;1,1,B31*$D$6)*(1-BF31)/'Factors d''emissió'!$D$73</f>
        <v>#N/A</v>
      </c>
      <c r="T31" s="208" t="e">
        <f aca="false">'Emissions CO2'!$F$40*D31</f>
        <v>#N/A</v>
      </c>
      <c r="U31" s="207" t="e">
        <f aca="false">(('Fixació CO2'!$F$14+'Fixació CO2'!$F$15)*D31*(1-'Factors d''emissió'!$E$55))*IF(B31*$D$6&gt;1,1,B31*$D$6)</f>
        <v>#N/A</v>
      </c>
      <c r="V31" s="207" t="n">
        <f aca="false">((Dades!$E$131*Dades!$E$130+Dades!$F$131*Dades!$F$130+Dades!$E$139*Dades!$E$138+Dades!$F$139*Dades!$F$138)*1000/20)+'Fixació CO2'!$F$21+'Fixació CO2'!$F$26*IF(B31*$D$6&gt;1,1,B31*$D$6)+(Dades!$F$121*('Factors d''emissió'!$C$154+('Factors d''emissió'!$C$156-'Factors d''emissió'!$C$154)*IF(B31*$D$6&gt;1,1,B31*$D$6))/10)+'Fixació CO2'!$F$22*IF(B31*$D$6&gt;1,1,B31*$D$6)</f>
        <v>0</v>
      </c>
      <c r="W31" s="207" t="e">
        <f aca="false">('Fixació CO2'!$F$40+'Fixació CO2'!$F$41+('Fixació CO2'!$F$39+'Fixació CO2'!$F$47+'Fixació CO2'!$F$48+'Fixació CO2'!$F$49)*IF(B31*$D$6&gt;1,1,B31*$D$6))*D31</f>
        <v>#N/A</v>
      </c>
      <c r="X31" s="207" t="n">
        <f aca="false">SUM('Fixació CO2'!$F$55:$F$57)</f>
        <v>0</v>
      </c>
      <c r="Y31" s="207" t="e">
        <f aca="false">(SUM(E31:T31)-U31)/1000</f>
        <v>#N/A</v>
      </c>
      <c r="Z31" s="207" t="e">
        <f aca="false">(V31+W31+X31)/1000</f>
        <v>#N/A</v>
      </c>
      <c r="AA31" s="207" t="e">
        <f aca="false">Y31-Z31</f>
        <v>#N/A</v>
      </c>
      <c r="AB31" s="207" t="e">
        <f aca="false">AA31*1000/ABS(Dades!$F$7)</f>
        <v>#N/A</v>
      </c>
      <c r="AC31" s="207" t="e">
        <f aca="false">AB31*10</f>
        <v>#N/A</v>
      </c>
      <c r="AD31" s="209"/>
      <c r="AE31" s="210" t="n">
        <f aca="false">C31</f>
        <v>20</v>
      </c>
      <c r="AF31" s="207" t="e">
        <f aca="false">AF30+Y31</f>
        <v>#N/A</v>
      </c>
      <c r="AG31" s="207" t="e">
        <f aca="false">AG30+Z31</f>
        <v>#N/A</v>
      </c>
      <c r="AH31" s="207" t="e">
        <f aca="false">AF31-AG31</f>
        <v>#N/A</v>
      </c>
      <c r="AJ31" s="207" t="e">
        <f aca="false">(SUM(E31:T31)-U31-F31-G31)/1000</f>
        <v>#N/A</v>
      </c>
      <c r="AK31" s="207" t="e">
        <f aca="false">(V31+W31+X31)/1000</f>
        <v>#N/A</v>
      </c>
      <c r="AL31" s="211"/>
      <c r="AM31" s="207" t="e">
        <f aca="false">AJ31-AK31</f>
        <v>#N/A</v>
      </c>
      <c r="AN31" s="207" t="e">
        <f aca="false">AM31*1000/ABS(Dades!$F$7)</f>
        <v>#N/A</v>
      </c>
      <c r="AO31" s="207" t="e">
        <f aca="false">AN31*10</f>
        <v>#N/A</v>
      </c>
      <c r="AQ31" s="207" t="e">
        <f aca="false">AQ30+AJ31</f>
        <v>#N/A</v>
      </c>
      <c r="AR31" s="207" t="e">
        <f aca="false">AR30+AK31</f>
        <v>#N/A</v>
      </c>
      <c r="AS31" s="207" t="e">
        <f aca="false">AQ31-AR31</f>
        <v>#N/A</v>
      </c>
      <c r="AU31" s="210" t="n">
        <f aca="false">C31</f>
        <v>20</v>
      </c>
      <c r="AV31" s="212" t="n">
        <f aca="false">E31</f>
        <v>0</v>
      </c>
      <c r="AW31" s="212" t="e">
        <f aca="false">F31</f>
        <v>#N/A</v>
      </c>
      <c r="AX31" s="212" t="n">
        <f aca="false">G31</f>
        <v>0</v>
      </c>
      <c r="AY31" s="210" t="e">
        <f aca="false">H31+K31+N31+Q31+T31</f>
        <v>#N/A</v>
      </c>
      <c r="AZ31" s="210" t="e">
        <f aca="false">I31+L31+O31+R31-U31</f>
        <v>#N/A</v>
      </c>
      <c r="BA31" s="210" t="e">
        <f aca="false">J31+M31+P31+S31</f>
        <v>#N/A</v>
      </c>
      <c r="BF31" s="214" t="e">
        <f aca="false">VLOOKUP(C31-1,mix_electric,3,FALSE())</f>
        <v>#N/A</v>
      </c>
    </row>
    <row r="32" customFormat="false" ht="14.4" hidden="false" customHeight="false" outlineLevel="0" collapsed="false">
      <c r="B32" s="204" t="n">
        <v>21</v>
      </c>
      <c r="C32" s="205" t="n">
        <f aca="false">C31+1</f>
        <v>21</v>
      </c>
      <c r="D32" s="206" t="e">
        <f aca="false">VLOOKUP(C32-1,mix_electric,2,FALSE())</f>
        <v>#N/A</v>
      </c>
      <c r="E32" s="207" t="n">
        <f aca="false">'Emissions CO2'!$F$20</f>
        <v>0</v>
      </c>
      <c r="F32" s="207" t="e">
        <f aca="false">'Emissions CO2'!$F$22*IF(B32*$D$6&gt;1,1,B32*$D$6)*D32/'Factors d''emissió'!$C$7</f>
        <v>#N/A</v>
      </c>
      <c r="G32" s="207" t="n">
        <f aca="false">'Emissions CO2'!$F$26*$B$61*IF($D$6*B32&gt;1,0,$D$6)</f>
        <v>0</v>
      </c>
      <c r="H32" s="207" t="e">
        <f aca="false">'Emissions CO2'!$F$36*IF(B32*$D$6&gt;1,1,B32*$D$6)*(D32*'Factors d''emissió'!$C$34+'Factors d''emissió'!$C$35*'Factors d''emissió'!$C$10+'Factors d''emissió'!$C$36*'Factors d''emissió'!$C$11+'Factors d''emissió'!$C$37*'Factors d''emissió'!$C$12)</f>
        <v>#N/A</v>
      </c>
      <c r="I32" s="207" t="e">
        <f aca="false">(('Emissions CO2'!$G$47*D32)+('Emissions CO2'!$G$48*D32))*IF(B32*$D$6&gt;1,1,B32*$D$6)</f>
        <v>#N/A</v>
      </c>
      <c r="J32" s="207" t="e">
        <f aca="false">'Emissions CO2'!$F$61*IF(B32*$D$6&gt;1,1,B32*$D$6)*(1-BF32)/'Factors d''emissió'!$D$73</f>
        <v>#N/A</v>
      </c>
      <c r="K32" s="207" t="e">
        <f aca="false">'Emissions CO2'!$F$37*D32*IF(B32*$D$6&gt;1,1,B32*$D$6)</f>
        <v>#N/A</v>
      </c>
      <c r="L32" s="207" t="e">
        <f aca="false">(('Emissions CO2'!$G$49*D32)+('Emissions CO2'!$G$50*D32))*IF(B32*$D$6&gt;1,1,B32*$D$6)</f>
        <v>#N/A</v>
      </c>
      <c r="M32" s="207" t="e">
        <f aca="false">'Emissions CO2'!$F$62*IF(B32*$D$6&gt;1,1,B32*$D$6)*(1-BF32)/'Factors d''emissió'!$D$73</f>
        <v>#N/A</v>
      </c>
      <c r="N32" s="207" t="e">
        <f aca="false">'Emissions CO2'!$F$38*D32*IF(B32*$D$6&gt;1,1,B32*$D$6)</f>
        <v>#N/A</v>
      </c>
      <c r="O32" s="207" t="e">
        <f aca="false">(('Emissions CO2'!$G$51*D32)+('Emissions CO2'!$G$52*D32))*IF(B32*$D$6&gt;1,1,B32*$D$6)</f>
        <v>#N/A</v>
      </c>
      <c r="P32" s="207" t="e">
        <f aca="false">'Emissions CO2'!$F$63*IF(B32*$D$6&gt;1,1,B32*$D$6)*(1-BF32)/'Factors d''emissió'!$D$73</f>
        <v>#N/A</v>
      </c>
      <c r="Q32" s="207" t="e">
        <f aca="false">'Emissions CO2'!$F$39*IF(B32*$D$6&gt;1,1,B32*$D$6)*(D32*'Factors d''emissió'!$C$41+'Factors d''emissió'!$C$10*'Factors d''emissió'!$C$42+'Factors d''emissió'!$C$11*'Factors d''emissió'!$C$43+'Factors d''emissió'!$C$12*'Factors d''emissió'!$C$44)</f>
        <v>#N/A</v>
      </c>
      <c r="R32" s="207" t="e">
        <f aca="false">(('Emissions CO2'!$G$53*D32)+('Emissions CO2'!$G$54*D32))*IF(B32*$D$6&gt;1,1,B32*$D$6)</f>
        <v>#N/A</v>
      </c>
      <c r="S32" s="207" t="e">
        <f aca="false">'Emissions CO2'!$F$64*IF(B32*$D$6&gt;1,1,B32*$D$6)*(1-BF32)/'Factors d''emissió'!$D$73</f>
        <v>#N/A</v>
      </c>
      <c r="T32" s="208" t="e">
        <f aca="false">'Emissions CO2'!$F$40*D32</f>
        <v>#N/A</v>
      </c>
      <c r="U32" s="207" t="e">
        <f aca="false">(('Fixació CO2'!$F$14+'Fixació CO2'!$F$15)*D32*(1-'Factors d''emissió'!$E$55))*IF(B32*$D$6&gt;1,1,B32*$D$6)</f>
        <v>#N/A</v>
      </c>
      <c r="V32" s="207" t="n">
        <f aca="false">(((Dades!$E$132-Dades!$E$131)*Dades!$E$130+(Dades!$F$132-Dades!$F$131)*Dades!$F$130+(Dades!$E$140-Dades!$E$139)*Dades!$E$138+(Dades!$F$140-Dades!$F$139)*Dades!$F$138)*1000/5)+'Fixació CO2'!$F$21+'Fixació CO2'!$F$26*IF(B32*$D$6&gt;1,1,B32*$D$6)+(Dades!$F$121*('Factors d''emissió'!$C$154+('Factors d''emissió'!$C$156-'Factors d''emissió'!$C$154)*IF(B32*$D$6&gt;1,1,B32*$D$6))/10)+'Fixació CO2'!$F$22*IF(B32*$D$6&gt;1,1,B32*$D$6)</f>
        <v>0</v>
      </c>
      <c r="W32" s="207" t="e">
        <f aca="false">('Fixació CO2'!$F$40+'Fixació CO2'!$F$41+('Fixació CO2'!$F$39+'Fixació CO2'!$F$47+'Fixació CO2'!$F$48+'Fixació CO2'!$F$49)*IF(B32*$D$6&gt;1,1,B32*$D$6))*D32</f>
        <v>#N/A</v>
      </c>
      <c r="X32" s="207" t="n">
        <f aca="false">SUM('Fixació CO2'!$F$55:$F$57)</f>
        <v>0</v>
      </c>
      <c r="Y32" s="207" t="e">
        <f aca="false">(SUM(E32:T32)-U32)/1000</f>
        <v>#N/A</v>
      </c>
      <c r="Z32" s="207" t="e">
        <f aca="false">(V32+W32+X32)/1000</f>
        <v>#N/A</v>
      </c>
      <c r="AA32" s="207" t="e">
        <f aca="false">Y32-Z32</f>
        <v>#N/A</v>
      </c>
      <c r="AB32" s="207" t="e">
        <f aca="false">AA32*1000/ABS(Dades!$F$7)</f>
        <v>#N/A</v>
      </c>
      <c r="AC32" s="207" t="e">
        <f aca="false">AB32*10</f>
        <v>#N/A</v>
      </c>
      <c r="AD32" s="209"/>
      <c r="AE32" s="210" t="n">
        <f aca="false">C32</f>
        <v>21</v>
      </c>
      <c r="AF32" s="207" t="e">
        <f aca="false">AF31+Y32</f>
        <v>#N/A</v>
      </c>
      <c r="AG32" s="207" t="e">
        <f aca="false">AG31+Z32</f>
        <v>#N/A</v>
      </c>
      <c r="AH32" s="207" t="e">
        <f aca="false">AF32-AG32</f>
        <v>#N/A</v>
      </c>
      <c r="AJ32" s="207" t="e">
        <f aca="false">(SUM(E32:T32)-U32-F32-G32)/1000</f>
        <v>#N/A</v>
      </c>
      <c r="AK32" s="207" t="e">
        <f aca="false">(V32+W32+X32)/1000</f>
        <v>#N/A</v>
      </c>
      <c r="AL32" s="211"/>
      <c r="AM32" s="207" t="e">
        <f aca="false">AJ32-AK32</f>
        <v>#N/A</v>
      </c>
      <c r="AN32" s="207" t="e">
        <f aca="false">AM32*1000/ABS(Dades!$F$7)</f>
        <v>#N/A</v>
      </c>
      <c r="AO32" s="207" t="e">
        <f aca="false">AN32*10</f>
        <v>#N/A</v>
      </c>
      <c r="AQ32" s="207" t="e">
        <f aca="false">AQ31+AJ32</f>
        <v>#N/A</v>
      </c>
      <c r="AR32" s="207" t="e">
        <f aca="false">AR31+AK32</f>
        <v>#N/A</v>
      </c>
      <c r="AS32" s="207" t="e">
        <f aca="false">AQ32-AR32</f>
        <v>#N/A</v>
      </c>
      <c r="AU32" s="210" t="n">
        <f aca="false">C32</f>
        <v>21</v>
      </c>
      <c r="AV32" s="212" t="n">
        <f aca="false">E32</f>
        <v>0</v>
      </c>
      <c r="AW32" s="212" t="e">
        <f aca="false">F32</f>
        <v>#N/A</v>
      </c>
      <c r="AX32" s="212" t="n">
        <f aca="false">G32</f>
        <v>0</v>
      </c>
      <c r="AY32" s="210" t="e">
        <f aca="false">H32+K32+N32+Q32+T32</f>
        <v>#N/A</v>
      </c>
      <c r="AZ32" s="210" t="e">
        <f aca="false">I32+L32+O32+R32-U32</f>
        <v>#N/A</v>
      </c>
      <c r="BA32" s="210" t="e">
        <f aca="false">J32+M32+P32+S32</f>
        <v>#N/A</v>
      </c>
      <c r="BF32" s="214" t="e">
        <f aca="false">VLOOKUP(C32-1,mix_electric,3,FALSE())</f>
        <v>#N/A</v>
      </c>
    </row>
    <row r="33" customFormat="false" ht="14.4" hidden="false" customHeight="false" outlineLevel="0" collapsed="false">
      <c r="B33" s="204" t="n">
        <v>22</v>
      </c>
      <c r="C33" s="205" t="n">
        <f aca="false">C32+1</f>
        <v>22</v>
      </c>
      <c r="D33" s="206" t="e">
        <f aca="false">VLOOKUP(C33-1,mix_electric,2,FALSE())</f>
        <v>#N/A</v>
      </c>
      <c r="E33" s="207" t="n">
        <f aca="false">'Emissions CO2'!$F$20</f>
        <v>0</v>
      </c>
      <c r="F33" s="207" t="e">
        <f aca="false">'Emissions CO2'!$F$22*IF(B33*$D$6&gt;1,1,B33*$D$6)*D33/'Factors d''emissió'!$C$7</f>
        <v>#N/A</v>
      </c>
      <c r="G33" s="207" t="n">
        <f aca="false">'Emissions CO2'!$F$26*$B$61*IF($D$6*B33&gt;1,0,$D$6)</f>
        <v>0</v>
      </c>
      <c r="H33" s="207" t="e">
        <f aca="false">'Emissions CO2'!$F$36*IF(B33*$D$6&gt;1,1,B33*$D$6)*(D33*'Factors d''emissió'!$C$34+'Factors d''emissió'!$C$35*'Factors d''emissió'!$C$10+'Factors d''emissió'!$C$36*'Factors d''emissió'!$C$11+'Factors d''emissió'!$C$37*'Factors d''emissió'!$C$12)</f>
        <v>#N/A</v>
      </c>
      <c r="I33" s="207" t="e">
        <f aca="false">(('Emissions CO2'!$G$47*D33)+('Emissions CO2'!$G$48*D33))*IF(B33*$D$6&gt;1,1,B33*$D$6)</f>
        <v>#N/A</v>
      </c>
      <c r="J33" s="207" t="e">
        <f aca="false">'Emissions CO2'!$F$61*IF(B33*$D$6&gt;1,1,B33*$D$6)*(1-BF33)/'Factors d''emissió'!$D$73</f>
        <v>#N/A</v>
      </c>
      <c r="K33" s="207" t="e">
        <f aca="false">'Emissions CO2'!$F$37*D33*IF(B33*$D$6&gt;1,1,B33*$D$6)</f>
        <v>#N/A</v>
      </c>
      <c r="L33" s="207" t="e">
        <f aca="false">(('Emissions CO2'!$G$49*D33)+('Emissions CO2'!$G$50*D33))*IF(B33*$D$6&gt;1,1,B33*$D$6)</f>
        <v>#N/A</v>
      </c>
      <c r="M33" s="207" t="e">
        <f aca="false">'Emissions CO2'!$F$62*IF(B33*$D$6&gt;1,1,B33*$D$6)*(1-BF33)/'Factors d''emissió'!$D$73</f>
        <v>#N/A</v>
      </c>
      <c r="N33" s="207" t="e">
        <f aca="false">'Emissions CO2'!$F$38*D33*IF(B33*$D$6&gt;1,1,B33*$D$6)</f>
        <v>#N/A</v>
      </c>
      <c r="O33" s="207" t="e">
        <f aca="false">(('Emissions CO2'!$G$51*D33)+('Emissions CO2'!$G$52*D33))*IF(B33*$D$6&gt;1,1,B33*$D$6)</f>
        <v>#N/A</v>
      </c>
      <c r="P33" s="207" t="e">
        <f aca="false">'Emissions CO2'!$F$63*IF(B33*$D$6&gt;1,1,B33*$D$6)*(1-BF33)/'Factors d''emissió'!$D$73</f>
        <v>#N/A</v>
      </c>
      <c r="Q33" s="207" t="e">
        <f aca="false">'Emissions CO2'!$F$39*IF(B33*$D$6&gt;1,1,B33*$D$6)*(D33*'Factors d''emissió'!$C$41+'Factors d''emissió'!$C$10*'Factors d''emissió'!$C$42+'Factors d''emissió'!$C$11*'Factors d''emissió'!$C$43+'Factors d''emissió'!$C$12*'Factors d''emissió'!$C$44)</f>
        <v>#N/A</v>
      </c>
      <c r="R33" s="207" t="e">
        <f aca="false">(('Emissions CO2'!$G$53*D33)+('Emissions CO2'!$G$54*D33))*IF(B33*$D$6&gt;1,1,B33*$D$6)</f>
        <v>#N/A</v>
      </c>
      <c r="S33" s="207" t="e">
        <f aca="false">'Emissions CO2'!$F$64*IF(B33*$D$6&gt;1,1,B33*$D$6)*(1-BF33)/'Factors d''emissió'!$D$73</f>
        <v>#N/A</v>
      </c>
      <c r="T33" s="208" t="e">
        <f aca="false">'Emissions CO2'!$F$40*D33</f>
        <v>#N/A</v>
      </c>
      <c r="U33" s="207" t="e">
        <f aca="false">(('Fixació CO2'!$F$14+'Fixació CO2'!$F$15)*D33*(1-'Factors d''emissió'!$E$55))*IF(B33*$D$6&gt;1,1,B33*$D$6)</f>
        <v>#N/A</v>
      </c>
      <c r="V33" s="207" t="n">
        <f aca="false">(((Dades!$E$132-Dades!$E$131)*Dades!$E$130+(Dades!$F$132-Dades!$F$131)*Dades!$F$130+(Dades!$E$140-Dades!$E$139)*Dades!$E$138+(Dades!$F$140-Dades!$F$139)*Dades!$F$138)*1000/5)+'Fixació CO2'!$F$21+'Fixació CO2'!$F$26*IF(B33*$D$6&gt;1,1,B33*$D$6)+(Dades!$F$121*('Factors d''emissió'!$C$154+('Factors d''emissió'!$C$156-'Factors d''emissió'!$C$154)*IF(B33*$D$6&gt;1,1,B33*$D$6))/10)+'Fixació CO2'!$F$22*IF(B33*$D$6&gt;1,1,B33*$D$6)</f>
        <v>0</v>
      </c>
      <c r="W33" s="207" t="e">
        <f aca="false">('Fixació CO2'!$F$40+'Fixació CO2'!$F$41+('Fixació CO2'!$F$39+'Fixació CO2'!$F$47+'Fixació CO2'!$F$48+'Fixació CO2'!$F$49)*IF(B33*$D$6&gt;1,1,B33*$D$6))*D33</f>
        <v>#N/A</v>
      </c>
      <c r="X33" s="207" t="n">
        <f aca="false">SUM('Fixació CO2'!$F$55:$F$57)</f>
        <v>0</v>
      </c>
      <c r="Y33" s="207" t="e">
        <f aca="false">(SUM(E33:T33)-U33)/1000</f>
        <v>#N/A</v>
      </c>
      <c r="Z33" s="207" t="e">
        <f aca="false">(V33+W33+X33)/1000</f>
        <v>#N/A</v>
      </c>
      <c r="AA33" s="207" t="e">
        <f aca="false">Y33-Z33</f>
        <v>#N/A</v>
      </c>
      <c r="AB33" s="207" t="e">
        <f aca="false">AA33*1000/ABS(Dades!$F$7)</f>
        <v>#N/A</v>
      </c>
      <c r="AC33" s="207" t="e">
        <f aca="false">AB33*10</f>
        <v>#N/A</v>
      </c>
      <c r="AD33" s="209"/>
      <c r="AE33" s="210" t="n">
        <f aca="false">C33</f>
        <v>22</v>
      </c>
      <c r="AF33" s="207" t="e">
        <f aca="false">AF32+Y33</f>
        <v>#N/A</v>
      </c>
      <c r="AG33" s="207" t="e">
        <f aca="false">AG32+Z33</f>
        <v>#N/A</v>
      </c>
      <c r="AH33" s="207" t="e">
        <f aca="false">AF33-AG33</f>
        <v>#N/A</v>
      </c>
      <c r="AJ33" s="207" t="e">
        <f aca="false">(SUM(E33:T33)-U33-F33-G33)/1000</f>
        <v>#N/A</v>
      </c>
      <c r="AK33" s="207" t="e">
        <f aca="false">(V33+W33+X33)/1000</f>
        <v>#N/A</v>
      </c>
      <c r="AL33" s="211"/>
      <c r="AM33" s="207" t="e">
        <f aca="false">AJ33-AK33</f>
        <v>#N/A</v>
      </c>
      <c r="AN33" s="207" t="e">
        <f aca="false">AM33*1000/ABS(Dades!$F$7)</f>
        <v>#N/A</v>
      </c>
      <c r="AO33" s="207" t="e">
        <f aca="false">AN33*10</f>
        <v>#N/A</v>
      </c>
      <c r="AQ33" s="207" t="e">
        <f aca="false">AQ32+AJ33</f>
        <v>#N/A</v>
      </c>
      <c r="AR33" s="207" t="e">
        <f aca="false">AR32+AK33</f>
        <v>#N/A</v>
      </c>
      <c r="AS33" s="207" t="e">
        <f aca="false">AQ33-AR33</f>
        <v>#N/A</v>
      </c>
      <c r="AU33" s="210" t="n">
        <f aca="false">C33</f>
        <v>22</v>
      </c>
      <c r="AV33" s="212" t="n">
        <f aca="false">E33</f>
        <v>0</v>
      </c>
      <c r="AW33" s="212" t="e">
        <f aca="false">F33</f>
        <v>#N/A</v>
      </c>
      <c r="AX33" s="212" t="n">
        <f aca="false">G33</f>
        <v>0</v>
      </c>
      <c r="AY33" s="210" t="e">
        <f aca="false">H33+K33+N33+Q33+T33</f>
        <v>#N/A</v>
      </c>
      <c r="AZ33" s="210" t="e">
        <f aca="false">I33+L33+O33+R33-U33</f>
        <v>#N/A</v>
      </c>
      <c r="BA33" s="210" t="e">
        <f aca="false">J33+M33+P33+S33</f>
        <v>#N/A</v>
      </c>
      <c r="BF33" s="214" t="e">
        <f aca="false">VLOOKUP(C33-1,mix_electric,3,FALSE())</f>
        <v>#N/A</v>
      </c>
    </row>
    <row r="34" customFormat="false" ht="14.4" hidden="false" customHeight="false" outlineLevel="0" collapsed="false">
      <c r="B34" s="204" t="n">
        <v>23</v>
      </c>
      <c r="C34" s="205" t="n">
        <f aca="false">C33+1</f>
        <v>23</v>
      </c>
      <c r="D34" s="206" t="e">
        <f aca="false">VLOOKUP(C34-1,mix_electric,2,FALSE())</f>
        <v>#N/A</v>
      </c>
      <c r="E34" s="207" t="n">
        <f aca="false">'Emissions CO2'!$F$20</f>
        <v>0</v>
      </c>
      <c r="F34" s="207" t="e">
        <f aca="false">'Emissions CO2'!$F$22*IF(B34*$D$6&gt;1,1,B34*$D$6)*D34/'Factors d''emissió'!$C$7</f>
        <v>#N/A</v>
      </c>
      <c r="G34" s="207" t="n">
        <f aca="false">'Emissions CO2'!$F$26*$B$61*IF($D$6*B34&gt;1,0,$D$6)</f>
        <v>0</v>
      </c>
      <c r="H34" s="207" t="e">
        <f aca="false">'Emissions CO2'!$F$36*IF(B34*$D$6&gt;1,1,B34*$D$6)*(D34*'Factors d''emissió'!$C$34+'Factors d''emissió'!$C$35*'Factors d''emissió'!$C$10+'Factors d''emissió'!$C$36*'Factors d''emissió'!$C$11+'Factors d''emissió'!$C$37*'Factors d''emissió'!$C$12)</f>
        <v>#N/A</v>
      </c>
      <c r="I34" s="207" t="e">
        <f aca="false">(('Emissions CO2'!$G$47*D34)+('Emissions CO2'!$G$48*D34))*IF(B34*$D$6&gt;1,1,B34*$D$6)</f>
        <v>#N/A</v>
      </c>
      <c r="J34" s="207" t="e">
        <f aca="false">'Emissions CO2'!$F$61*IF(B34*$D$6&gt;1,1,B34*$D$6)*(1-BF34)/'Factors d''emissió'!$D$73</f>
        <v>#N/A</v>
      </c>
      <c r="K34" s="207" t="e">
        <f aca="false">'Emissions CO2'!$F$37*D34*IF(B34*$D$6&gt;1,1,B34*$D$6)</f>
        <v>#N/A</v>
      </c>
      <c r="L34" s="207" t="e">
        <f aca="false">(('Emissions CO2'!$G$49*D34)+('Emissions CO2'!$G$50*D34))*IF(B34*$D$6&gt;1,1,B34*$D$6)</f>
        <v>#N/A</v>
      </c>
      <c r="M34" s="207" t="e">
        <f aca="false">'Emissions CO2'!$F$62*IF(B34*$D$6&gt;1,1,B34*$D$6)*(1-BF34)/'Factors d''emissió'!$D$73</f>
        <v>#N/A</v>
      </c>
      <c r="N34" s="207" t="e">
        <f aca="false">'Emissions CO2'!$F$38*D34*IF(B34*$D$6&gt;1,1,B34*$D$6)</f>
        <v>#N/A</v>
      </c>
      <c r="O34" s="207" t="e">
        <f aca="false">(('Emissions CO2'!$G$51*D34)+('Emissions CO2'!$G$52*D34))*IF(B34*$D$6&gt;1,1,B34*$D$6)</f>
        <v>#N/A</v>
      </c>
      <c r="P34" s="207" t="e">
        <f aca="false">'Emissions CO2'!$F$63*IF(B34*$D$6&gt;1,1,B34*$D$6)*(1-BF34)/'Factors d''emissió'!$D$73</f>
        <v>#N/A</v>
      </c>
      <c r="Q34" s="207" t="e">
        <f aca="false">'Emissions CO2'!$F$39*IF(B34*$D$6&gt;1,1,B34*$D$6)*(D34*'Factors d''emissió'!$C$41+'Factors d''emissió'!$C$10*'Factors d''emissió'!$C$42+'Factors d''emissió'!$C$11*'Factors d''emissió'!$C$43+'Factors d''emissió'!$C$12*'Factors d''emissió'!$C$44)</f>
        <v>#N/A</v>
      </c>
      <c r="R34" s="207" t="e">
        <f aca="false">(('Emissions CO2'!$G$53*D34)+('Emissions CO2'!$G$54*D34))*IF(B34*$D$6&gt;1,1,B34*$D$6)</f>
        <v>#N/A</v>
      </c>
      <c r="S34" s="207" t="e">
        <f aca="false">'Emissions CO2'!$F$64*IF(B34*$D$6&gt;1,1,B34*$D$6)*(1-BF34)/'Factors d''emissió'!$D$73</f>
        <v>#N/A</v>
      </c>
      <c r="T34" s="208" t="e">
        <f aca="false">'Emissions CO2'!$F$40*D34</f>
        <v>#N/A</v>
      </c>
      <c r="U34" s="207" t="e">
        <f aca="false">(('Fixació CO2'!$F$14+'Fixació CO2'!$F$15)*D34*(1-'Factors d''emissió'!$E$55))*IF(B34*$D$6&gt;1,1,B34*$D$6)</f>
        <v>#N/A</v>
      </c>
      <c r="V34" s="207" t="n">
        <f aca="false">(((Dades!$E$132-Dades!$E$131)*Dades!$E$130+(Dades!$F$132-Dades!$F$131)*Dades!$F$130+(Dades!$E$140-Dades!$E$139)*Dades!$E$138+(Dades!$F$140-Dades!$F$139)*Dades!$F$138)*1000/5)+'Fixació CO2'!$F$21+'Fixació CO2'!$F$26*IF(B34*$D$6&gt;1,1,B34*$D$6)+(Dades!$F$121*('Factors d''emissió'!$C$154+('Factors d''emissió'!$C$156-'Factors d''emissió'!$C$154)*IF(B34*$D$6&gt;1,1,B34*$D$6))/10)+'Fixació CO2'!$F$22*IF(B34*$D$6&gt;1,1,B34*$D$6)</f>
        <v>0</v>
      </c>
      <c r="W34" s="207" t="e">
        <f aca="false">('Fixació CO2'!$F$40+'Fixació CO2'!$F$41+('Fixació CO2'!$F$39+'Fixació CO2'!$F$47+'Fixació CO2'!$F$48+'Fixació CO2'!$F$49)*IF(B34*$D$6&gt;1,1,B34*$D$6))*D34</f>
        <v>#N/A</v>
      </c>
      <c r="X34" s="207" t="n">
        <f aca="false">SUM('Fixació CO2'!$F$55:$F$57)</f>
        <v>0</v>
      </c>
      <c r="Y34" s="207" t="e">
        <f aca="false">(SUM(E34:T34)-U34)/1000</f>
        <v>#N/A</v>
      </c>
      <c r="Z34" s="207" t="e">
        <f aca="false">(V34+W34+X34)/1000</f>
        <v>#N/A</v>
      </c>
      <c r="AA34" s="207" t="e">
        <f aca="false">Y34-Z34</f>
        <v>#N/A</v>
      </c>
      <c r="AB34" s="207" t="e">
        <f aca="false">AA34*1000/ABS(Dades!$F$7)</f>
        <v>#N/A</v>
      </c>
      <c r="AC34" s="207" t="e">
        <f aca="false">AB34*10</f>
        <v>#N/A</v>
      </c>
      <c r="AD34" s="209"/>
      <c r="AE34" s="210" t="n">
        <f aca="false">C34</f>
        <v>23</v>
      </c>
      <c r="AF34" s="207" t="e">
        <f aca="false">AF33+Y34</f>
        <v>#N/A</v>
      </c>
      <c r="AG34" s="207" t="e">
        <f aca="false">AG33+Z34</f>
        <v>#N/A</v>
      </c>
      <c r="AH34" s="207" t="e">
        <f aca="false">AF34-AG34</f>
        <v>#N/A</v>
      </c>
      <c r="AJ34" s="207" t="e">
        <f aca="false">(SUM(E34:T34)-U34-F34-G34)/1000</f>
        <v>#N/A</v>
      </c>
      <c r="AK34" s="207" t="e">
        <f aca="false">(V34+W34+X34)/1000</f>
        <v>#N/A</v>
      </c>
      <c r="AL34" s="211"/>
      <c r="AM34" s="207" t="e">
        <f aca="false">AJ34-AK34</f>
        <v>#N/A</v>
      </c>
      <c r="AN34" s="207" t="e">
        <f aca="false">AM34*1000/ABS(Dades!$F$7)</f>
        <v>#N/A</v>
      </c>
      <c r="AO34" s="207" t="e">
        <f aca="false">AN34*10</f>
        <v>#N/A</v>
      </c>
      <c r="AQ34" s="207" t="e">
        <f aca="false">AQ33+AJ34</f>
        <v>#N/A</v>
      </c>
      <c r="AR34" s="207" t="e">
        <f aca="false">AR33+AK34</f>
        <v>#N/A</v>
      </c>
      <c r="AS34" s="207" t="e">
        <f aca="false">AQ34-AR34</f>
        <v>#N/A</v>
      </c>
      <c r="AU34" s="210" t="n">
        <f aca="false">C34</f>
        <v>23</v>
      </c>
      <c r="AV34" s="212" t="n">
        <f aca="false">E34</f>
        <v>0</v>
      </c>
      <c r="AW34" s="212" t="e">
        <f aca="false">F34</f>
        <v>#N/A</v>
      </c>
      <c r="AX34" s="212" t="n">
        <f aca="false">G34</f>
        <v>0</v>
      </c>
      <c r="AY34" s="210" t="e">
        <f aca="false">H34+K34+N34+Q34+T34</f>
        <v>#N/A</v>
      </c>
      <c r="AZ34" s="210" t="e">
        <f aca="false">I34+L34+O34+R34-U34</f>
        <v>#N/A</v>
      </c>
      <c r="BA34" s="210" t="e">
        <f aca="false">J34+M34+P34+S34</f>
        <v>#N/A</v>
      </c>
      <c r="BF34" s="214" t="e">
        <f aca="false">VLOOKUP(C34-1,mix_electric,3,FALSE())</f>
        <v>#N/A</v>
      </c>
    </row>
    <row r="35" customFormat="false" ht="14.4" hidden="false" customHeight="false" outlineLevel="0" collapsed="false">
      <c r="B35" s="204" t="n">
        <v>24</v>
      </c>
      <c r="C35" s="205" t="n">
        <f aca="false">C34+1</f>
        <v>24</v>
      </c>
      <c r="D35" s="206" t="e">
        <f aca="false">VLOOKUP(C35-1,mix_electric,2,FALSE())</f>
        <v>#N/A</v>
      </c>
      <c r="E35" s="207" t="n">
        <f aca="false">'Emissions CO2'!$F$20</f>
        <v>0</v>
      </c>
      <c r="F35" s="207" t="e">
        <f aca="false">'Emissions CO2'!$F$22*IF(B35*$D$6&gt;1,1,B35*$D$6)*D35/'Factors d''emissió'!$C$7</f>
        <v>#N/A</v>
      </c>
      <c r="G35" s="207" t="n">
        <f aca="false">'Emissions CO2'!$F$26*$B$61*IF($D$6*B35&gt;1,0,$D$6)</f>
        <v>0</v>
      </c>
      <c r="H35" s="207" t="e">
        <f aca="false">'Emissions CO2'!$F$36*IF(B35*$D$6&gt;1,1,B35*$D$6)*(D35*'Factors d''emissió'!$C$34+'Factors d''emissió'!$C$35*'Factors d''emissió'!$C$10+'Factors d''emissió'!$C$36*'Factors d''emissió'!$C$11+'Factors d''emissió'!$C$37*'Factors d''emissió'!$C$12)</f>
        <v>#N/A</v>
      </c>
      <c r="I35" s="207" t="e">
        <f aca="false">(('Emissions CO2'!$G$47*D35)+('Emissions CO2'!$G$48*D35))*IF(B35*$D$6&gt;1,1,B35*$D$6)</f>
        <v>#N/A</v>
      </c>
      <c r="J35" s="207" t="e">
        <f aca="false">'Emissions CO2'!$F$61*IF(B35*$D$6&gt;1,1,B35*$D$6)*(1-BF35)/'Factors d''emissió'!$D$73</f>
        <v>#N/A</v>
      </c>
      <c r="K35" s="207" t="e">
        <f aca="false">'Emissions CO2'!$F$37*D35*IF(B35*$D$6&gt;1,1,B35*$D$6)</f>
        <v>#N/A</v>
      </c>
      <c r="L35" s="207" t="e">
        <f aca="false">(('Emissions CO2'!$G$49*D35)+('Emissions CO2'!$G$50*D35))*IF(B35*$D$6&gt;1,1,B35*$D$6)</f>
        <v>#N/A</v>
      </c>
      <c r="M35" s="207" t="e">
        <f aca="false">'Emissions CO2'!$F$62*IF(B35*$D$6&gt;1,1,B35*$D$6)*(1-BF35)/'Factors d''emissió'!$D$73</f>
        <v>#N/A</v>
      </c>
      <c r="N35" s="207" t="e">
        <f aca="false">'Emissions CO2'!$F$38*D35*IF(B35*$D$6&gt;1,1,B35*$D$6)</f>
        <v>#N/A</v>
      </c>
      <c r="O35" s="207" t="e">
        <f aca="false">(('Emissions CO2'!$G$51*D35)+('Emissions CO2'!$G$52*D35))*IF(B35*$D$6&gt;1,1,B35*$D$6)</f>
        <v>#N/A</v>
      </c>
      <c r="P35" s="207" t="e">
        <f aca="false">'Emissions CO2'!$F$63*IF(B35*$D$6&gt;1,1,B35*$D$6)*(1-BF35)/'Factors d''emissió'!$D$73</f>
        <v>#N/A</v>
      </c>
      <c r="Q35" s="207" t="e">
        <f aca="false">'Emissions CO2'!$F$39*IF(B35*$D$6&gt;1,1,B35*$D$6)*(D35*'Factors d''emissió'!$C$41+'Factors d''emissió'!$C$10*'Factors d''emissió'!$C$42+'Factors d''emissió'!$C$11*'Factors d''emissió'!$C$43+'Factors d''emissió'!$C$12*'Factors d''emissió'!$C$44)</f>
        <v>#N/A</v>
      </c>
      <c r="R35" s="207" t="e">
        <f aca="false">(('Emissions CO2'!$G$53*D35)+('Emissions CO2'!$G$54*D35))*IF(B35*$D$6&gt;1,1,B35*$D$6)</f>
        <v>#N/A</v>
      </c>
      <c r="S35" s="207" t="e">
        <f aca="false">'Emissions CO2'!$F$64*IF(B35*$D$6&gt;1,1,B35*$D$6)*(1-BF35)/'Factors d''emissió'!$D$73</f>
        <v>#N/A</v>
      </c>
      <c r="T35" s="208" t="e">
        <f aca="false">'Emissions CO2'!$F$40*D35</f>
        <v>#N/A</v>
      </c>
      <c r="U35" s="207" t="e">
        <f aca="false">(('Fixació CO2'!$F$14+'Fixació CO2'!$F$15)*D35*(1-'Factors d''emissió'!$E$55))*IF(B35*$D$6&gt;1,1,B35*$D$6)</f>
        <v>#N/A</v>
      </c>
      <c r="V35" s="207" t="n">
        <f aca="false">(((Dades!$E$132-Dades!$E$131)*Dades!$E$130+(Dades!$F$132-Dades!$F$131)*Dades!$F$130+(Dades!$E$140-Dades!$E$139)*Dades!$E$138+(Dades!$F$140-Dades!$F$139)*Dades!$F$138)*1000/5)+'Fixació CO2'!$F$21+'Fixació CO2'!$F$26*IF(B35*$D$6&gt;1,1,B35*$D$6)+(Dades!$F$121*('Factors d''emissió'!$C$154+('Factors d''emissió'!$C$156-'Factors d''emissió'!$C$154)*IF(B35*$D$6&gt;1,1,B35*$D$6))/10)+'Fixació CO2'!$F$22*IF(B35*$D$6&gt;1,1,B35*$D$6)</f>
        <v>0</v>
      </c>
      <c r="W35" s="207" t="e">
        <f aca="false">('Fixació CO2'!$F$40+'Fixació CO2'!$F$41+('Fixació CO2'!$F$39+'Fixació CO2'!$F$47+'Fixació CO2'!$F$48+'Fixació CO2'!$F$49)*IF(B35*$D$6&gt;1,1,B35*$D$6))*D35</f>
        <v>#N/A</v>
      </c>
      <c r="X35" s="207" t="n">
        <f aca="false">SUM('Fixació CO2'!$F$55:$F$57)</f>
        <v>0</v>
      </c>
      <c r="Y35" s="207" t="e">
        <f aca="false">(SUM(E35:T35)-U35)/1000</f>
        <v>#N/A</v>
      </c>
      <c r="Z35" s="207" t="e">
        <f aca="false">(V35+W35+X35)/1000</f>
        <v>#N/A</v>
      </c>
      <c r="AA35" s="207" t="e">
        <f aca="false">Y35-Z35</f>
        <v>#N/A</v>
      </c>
      <c r="AB35" s="207" t="e">
        <f aca="false">AA35*1000/ABS(Dades!$F$7)</f>
        <v>#N/A</v>
      </c>
      <c r="AC35" s="207" t="e">
        <f aca="false">AB35*10</f>
        <v>#N/A</v>
      </c>
      <c r="AD35" s="209"/>
      <c r="AE35" s="210" t="n">
        <f aca="false">C35</f>
        <v>24</v>
      </c>
      <c r="AF35" s="207" t="e">
        <f aca="false">AF34+Y35</f>
        <v>#N/A</v>
      </c>
      <c r="AG35" s="207" t="e">
        <f aca="false">AG34+Z35</f>
        <v>#N/A</v>
      </c>
      <c r="AH35" s="207" t="e">
        <f aca="false">AF35-AG35</f>
        <v>#N/A</v>
      </c>
      <c r="AJ35" s="207" t="e">
        <f aca="false">(SUM(E35:T35)-U35-F35-G35)/1000</f>
        <v>#N/A</v>
      </c>
      <c r="AK35" s="207" t="e">
        <f aca="false">(V35+W35+X35)/1000</f>
        <v>#N/A</v>
      </c>
      <c r="AL35" s="211"/>
      <c r="AM35" s="207" t="e">
        <f aca="false">AJ35-AK35</f>
        <v>#N/A</v>
      </c>
      <c r="AN35" s="207" t="e">
        <f aca="false">AM35*1000/ABS(Dades!$F$7)</f>
        <v>#N/A</v>
      </c>
      <c r="AO35" s="207" t="e">
        <f aca="false">AN35*10</f>
        <v>#N/A</v>
      </c>
      <c r="AQ35" s="207" t="e">
        <f aca="false">AQ34+AJ35</f>
        <v>#N/A</v>
      </c>
      <c r="AR35" s="207" t="e">
        <f aca="false">AR34+AK35</f>
        <v>#N/A</v>
      </c>
      <c r="AS35" s="207" t="e">
        <f aca="false">AQ35-AR35</f>
        <v>#N/A</v>
      </c>
      <c r="AU35" s="210" t="n">
        <f aca="false">C35</f>
        <v>24</v>
      </c>
      <c r="AV35" s="212" t="n">
        <f aca="false">E35</f>
        <v>0</v>
      </c>
      <c r="AW35" s="212" t="e">
        <f aca="false">F35</f>
        <v>#N/A</v>
      </c>
      <c r="AX35" s="212" t="n">
        <f aca="false">G35</f>
        <v>0</v>
      </c>
      <c r="AY35" s="210" t="e">
        <f aca="false">H35+K35+N35+Q35+T35</f>
        <v>#N/A</v>
      </c>
      <c r="AZ35" s="210" t="e">
        <f aca="false">I35+L35+O35+R35-U35</f>
        <v>#N/A</v>
      </c>
      <c r="BA35" s="210" t="e">
        <f aca="false">J35+M35+P35+S35</f>
        <v>#N/A</v>
      </c>
      <c r="BF35" s="214" t="e">
        <f aca="false">VLOOKUP(C35-1,mix_electric,3,FALSE())</f>
        <v>#N/A</v>
      </c>
    </row>
    <row r="36" customFormat="false" ht="14.4" hidden="false" customHeight="false" outlineLevel="0" collapsed="false">
      <c r="B36" s="204" t="n">
        <v>25</v>
      </c>
      <c r="C36" s="205" t="n">
        <f aca="false">C35+1</f>
        <v>25</v>
      </c>
      <c r="D36" s="206" t="e">
        <f aca="false">VLOOKUP(C36-1,mix_electric,2,FALSE())</f>
        <v>#N/A</v>
      </c>
      <c r="E36" s="207" t="n">
        <f aca="false">'Emissions CO2'!$F$20</f>
        <v>0</v>
      </c>
      <c r="F36" s="207" t="e">
        <f aca="false">'Emissions CO2'!$F$22*IF(B36*$D$6&gt;1,1,B36*$D$6)*D36/'Factors d''emissió'!$C$7</f>
        <v>#N/A</v>
      </c>
      <c r="G36" s="207" t="n">
        <f aca="false">'Emissions CO2'!$F$26*$B$61*IF($D$6*B36&gt;1,0,$D$6)</f>
        <v>0</v>
      </c>
      <c r="H36" s="207" t="e">
        <f aca="false">'Emissions CO2'!$F$36*IF(B36*$D$6&gt;1,1,B36*$D$6)*(D36*'Factors d''emissió'!$C$34+'Factors d''emissió'!$C$35*'Factors d''emissió'!$C$10+'Factors d''emissió'!$C$36*'Factors d''emissió'!$C$11+'Factors d''emissió'!$C$37*'Factors d''emissió'!$C$12)</f>
        <v>#N/A</v>
      </c>
      <c r="I36" s="207" t="e">
        <f aca="false">(('Emissions CO2'!$G$47*D36)+('Emissions CO2'!$G$48*D36))*IF(B36*$D$6&gt;1,1,B36*$D$6)</f>
        <v>#N/A</v>
      </c>
      <c r="J36" s="207" t="e">
        <f aca="false">'Emissions CO2'!$F$61*IF(B36*$D$6&gt;1,1,B36*$D$6)*(1-BF36)/'Factors d''emissió'!$D$73</f>
        <v>#N/A</v>
      </c>
      <c r="K36" s="207" t="e">
        <f aca="false">'Emissions CO2'!$F$37*D36*IF(B36*$D$6&gt;1,1,B36*$D$6)</f>
        <v>#N/A</v>
      </c>
      <c r="L36" s="207" t="e">
        <f aca="false">(('Emissions CO2'!$G$49*D36)+('Emissions CO2'!$G$50*D36))*IF(B36*$D$6&gt;1,1,B36*$D$6)</f>
        <v>#N/A</v>
      </c>
      <c r="M36" s="207" t="e">
        <f aca="false">'Emissions CO2'!$F$62*IF(B36*$D$6&gt;1,1,B36*$D$6)*(1-BF36)/'Factors d''emissió'!$D$73</f>
        <v>#N/A</v>
      </c>
      <c r="N36" s="207" t="e">
        <f aca="false">'Emissions CO2'!$F$38*D36*IF(B36*$D$6&gt;1,1,B36*$D$6)</f>
        <v>#N/A</v>
      </c>
      <c r="O36" s="207" t="e">
        <f aca="false">(('Emissions CO2'!$G$51*D36)+('Emissions CO2'!$G$52*D36))*IF(B36*$D$6&gt;1,1,B36*$D$6)</f>
        <v>#N/A</v>
      </c>
      <c r="P36" s="207" t="e">
        <f aca="false">'Emissions CO2'!$F$63*IF(B36*$D$6&gt;1,1,B36*$D$6)*(1-BF36)/'Factors d''emissió'!$D$73</f>
        <v>#N/A</v>
      </c>
      <c r="Q36" s="207" t="e">
        <f aca="false">'Emissions CO2'!$F$39*IF(B36*$D$6&gt;1,1,B36*$D$6)*(D36*'Factors d''emissió'!$C$41+'Factors d''emissió'!$C$10*'Factors d''emissió'!$C$42+'Factors d''emissió'!$C$11*'Factors d''emissió'!$C$43+'Factors d''emissió'!$C$12*'Factors d''emissió'!$C$44)</f>
        <v>#N/A</v>
      </c>
      <c r="R36" s="207" t="e">
        <f aca="false">(('Emissions CO2'!$G$53*D36)+('Emissions CO2'!$G$54*D36))*IF(B36*$D$6&gt;1,1,B36*$D$6)</f>
        <v>#N/A</v>
      </c>
      <c r="S36" s="207" t="e">
        <f aca="false">'Emissions CO2'!$F$64*IF(B36*$D$6&gt;1,1,B36*$D$6)*(1-BF36)/'Factors d''emissió'!$D$73</f>
        <v>#N/A</v>
      </c>
      <c r="T36" s="208" t="e">
        <f aca="false">'Emissions CO2'!$F$40*D36</f>
        <v>#N/A</v>
      </c>
      <c r="U36" s="207" t="e">
        <f aca="false">(('Fixació CO2'!$F$14+'Fixació CO2'!$F$15)*D36*(1-'Factors d''emissió'!$E$55))*IF(B36*$D$6&gt;1,1,B36*$D$6)</f>
        <v>#N/A</v>
      </c>
      <c r="V36" s="207" t="n">
        <f aca="false">(((Dades!$E$132-Dades!$E$131)*Dades!$E$130+(Dades!$F$132-Dades!$F$131)*Dades!$F$130+(Dades!$E$140-Dades!$E$139)*Dades!$E$138+(Dades!$F$140-Dades!$F$139)*Dades!$F$138)*1000/5)+'Fixació CO2'!$F$21+'Fixació CO2'!$F$26*IF(B36*$D$6&gt;1,1,B36*$D$6)+(Dades!$F$121*('Factors d''emissió'!$C$154+('Factors d''emissió'!$C$156-'Factors d''emissió'!$C$154)*IF(B36*$D$6&gt;1,1,B36*$D$6))/10)+'Fixació CO2'!$F$22*IF(B36*$D$6&gt;1,1,B36*$D$6)</f>
        <v>0</v>
      </c>
      <c r="W36" s="207" t="e">
        <f aca="false">('Fixació CO2'!$F$40+'Fixació CO2'!$F$41+('Fixació CO2'!$F$39+'Fixació CO2'!$F$47+'Fixació CO2'!$F$48+'Fixació CO2'!$F$49)*IF(B36*$D$6&gt;1,1,B36*$D$6))*D36</f>
        <v>#N/A</v>
      </c>
      <c r="X36" s="207" t="n">
        <f aca="false">SUM('Fixació CO2'!$F$55:$F$57)</f>
        <v>0</v>
      </c>
      <c r="Y36" s="207" t="e">
        <f aca="false">(SUM(E36:T36)-U36)/1000</f>
        <v>#N/A</v>
      </c>
      <c r="Z36" s="207" t="e">
        <f aca="false">(V36+W36+X36)/1000</f>
        <v>#N/A</v>
      </c>
      <c r="AA36" s="207" t="e">
        <f aca="false">Y36-Z36</f>
        <v>#N/A</v>
      </c>
      <c r="AB36" s="207" t="e">
        <f aca="false">AA36*1000/ABS(Dades!$F$7)</f>
        <v>#N/A</v>
      </c>
      <c r="AC36" s="207" t="e">
        <f aca="false">AB36*10</f>
        <v>#N/A</v>
      </c>
      <c r="AD36" s="209"/>
      <c r="AE36" s="210" t="n">
        <f aca="false">C36</f>
        <v>25</v>
      </c>
      <c r="AF36" s="207" t="e">
        <f aca="false">AF35+Y36</f>
        <v>#N/A</v>
      </c>
      <c r="AG36" s="207" t="e">
        <f aca="false">AG35+Z36</f>
        <v>#N/A</v>
      </c>
      <c r="AH36" s="207" t="e">
        <f aca="false">AF36-AG36</f>
        <v>#N/A</v>
      </c>
      <c r="AJ36" s="207" t="e">
        <f aca="false">(SUM(E36:T36)-U36-F36-G36)/1000</f>
        <v>#N/A</v>
      </c>
      <c r="AK36" s="207" t="e">
        <f aca="false">(V36+W36+X36)/1000</f>
        <v>#N/A</v>
      </c>
      <c r="AL36" s="211"/>
      <c r="AM36" s="207" t="e">
        <f aca="false">AJ36-AK36</f>
        <v>#N/A</v>
      </c>
      <c r="AN36" s="207" t="e">
        <f aca="false">AM36*1000/ABS(Dades!$F$7)</f>
        <v>#N/A</v>
      </c>
      <c r="AO36" s="207" t="e">
        <f aca="false">AN36*10</f>
        <v>#N/A</v>
      </c>
      <c r="AQ36" s="207" t="e">
        <f aca="false">AQ35+AJ36</f>
        <v>#N/A</v>
      </c>
      <c r="AR36" s="207" t="e">
        <f aca="false">AR35+AK36</f>
        <v>#N/A</v>
      </c>
      <c r="AS36" s="207" t="e">
        <f aca="false">AQ36-AR36</f>
        <v>#N/A</v>
      </c>
      <c r="AU36" s="210" t="n">
        <f aca="false">C36</f>
        <v>25</v>
      </c>
      <c r="AV36" s="212" t="n">
        <f aca="false">E36</f>
        <v>0</v>
      </c>
      <c r="AW36" s="212" t="e">
        <f aca="false">F36</f>
        <v>#N/A</v>
      </c>
      <c r="AX36" s="212" t="n">
        <f aca="false">G36</f>
        <v>0</v>
      </c>
      <c r="AY36" s="210" t="e">
        <f aca="false">H36+K36+N36+Q36+T36</f>
        <v>#N/A</v>
      </c>
      <c r="AZ36" s="210" t="e">
        <f aca="false">I36+L36+O36+R36-U36</f>
        <v>#N/A</v>
      </c>
      <c r="BA36" s="210" t="e">
        <f aca="false">J36+M36+P36+S36</f>
        <v>#N/A</v>
      </c>
      <c r="BF36" s="214" t="e">
        <f aca="false">VLOOKUP(C36-1,mix_electric,3,FALSE())</f>
        <v>#N/A</v>
      </c>
    </row>
    <row r="37" customFormat="false" ht="14.4" hidden="false" customHeight="false" outlineLevel="0" collapsed="false">
      <c r="B37" s="204" t="n">
        <v>26</v>
      </c>
      <c r="C37" s="205" t="n">
        <f aca="false">C36+1</f>
        <v>26</v>
      </c>
      <c r="D37" s="206" t="e">
        <f aca="false">VLOOKUP(C37-1,mix_electric,2,FALSE())</f>
        <v>#N/A</v>
      </c>
      <c r="E37" s="207" t="n">
        <f aca="false">'Emissions CO2'!$F$20</f>
        <v>0</v>
      </c>
      <c r="F37" s="207" t="e">
        <f aca="false">'Emissions CO2'!$F$22*IF(B37*$D$6&gt;1,1,B37*$D$6)*D37/'Factors d''emissió'!$C$7</f>
        <v>#N/A</v>
      </c>
      <c r="G37" s="207" t="n">
        <f aca="false">'Emissions CO2'!$F$26*$B$61*IF($D$6*B37&gt;1,0,$D$6)</f>
        <v>0</v>
      </c>
      <c r="H37" s="207" t="e">
        <f aca="false">'Emissions CO2'!$F$36*IF(B37*$D$6&gt;1,1,B37*$D$6)*(D37*'Factors d''emissió'!$C$34+'Factors d''emissió'!$C$35*'Factors d''emissió'!$C$10+'Factors d''emissió'!$C$36*'Factors d''emissió'!$C$11+'Factors d''emissió'!$C$37*'Factors d''emissió'!$C$12)</f>
        <v>#N/A</v>
      </c>
      <c r="I37" s="207" t="e">
        <f aca="false">(('Emissions CO2'!$G$47*D37)+('Emissions CO2'!$G$48*D37))*IF(B37*$D$6&gt;1,1,B37*$D$6)</f>
        <v>#N/A</v>
      </c>
      <c r="J37" s="207" t="e">
        <f aca="false">'Emissions CO2'!$F$61*IF(B37*$D$6&gt;1,1,B37*$D$6)*(1-BF37)/'Factors d''emissió'!$D$73</f>
        <v>#N/A</v>
      </c>
      <c r="K37" s="207" t="e">
        <f aca="false">'Emissions CO2'!$F$37*D37*IF(B37*$D$6&gt;1,1,B37*$D$6)</f>
        <v>#N/A</v>
      </c>
      <c r="L37" s="207" t="e">
        <f aca="false">(('Emissions CO2'!$G$49*D37)+('Emissions CO2'!$G$50*D37))*IF(B37*$D$6&gt;1,1,B37*$D$6)</f>
        <v>#N/A</v>
      </c>
      <c r="M37" s="207" t="e">
        <f aca="false">'Emissions CO2'!$F$62*IF(B37*$D$6&gt;1,1,B37*$D$6)*(1-BF37)/'Factors d''emissió'!$D$73</f>
        <v>#N/A</v>
      </c>
      <c r="N37" s="207" t="e">
        <f aca="false">'Emissions CO2'!$F$38*D37*IF(B37*$D$6&gt;1,1,B37*$D$6)</f>
        <v>#N/A</v>
      </c>
      <c r="O37" s="207" t="e">
        <f aca="false">(('Emissions CO2'!$G$51*D37)+('Emissions CO2'!$G$52*D37))*IF(B37*$D$6&gt;1,1,B37*$D$6)</f>
        <v>#N/A</v>
      </c>
      <c r="P37" s="207" t="e">
        <f aca="false">'Emissions CO2'!$F$63*IF(B37*$D$6&gt;1,1,B37*$D$6)*(1-BF37)/'Factors d''emissió'!$D$73</f>
        <v>#N/A</v>
      </c>
      <c r="Q37" s="207" t="e">
        <f aca="false">'Emissions CO2'!$F$39*IF(B37*$D$6&gt;1,1,B37*$D$6)*(D37*'Factors d''emissió'!$C$41+'Factors d''emissió'!$C$10*'Factors d''emissió'!$C$42+'Factors d''emissió'!$C$11*'Factors d''emissió'!$C$43+'Factors d''emissió'!$C$12*'Factors d''emissió'!$C$44)</f>
        <v>#N/A</v>
      </c>
      <c r="R37" s="207" t="e">
        <f aca="false">(('Emissions CO2'!$G$53*D37)+('Emissions CO2'!$G$54*D37))*IF(B37*$D$6&gt;1,1,B37*$D$6)</f>
        <v>#N/A</v>
      </c>
      <c r="S37" s="207" t="e">
        <f aca="false">'Emissions CO2'!$F$64*IF(B37*$D$6&gt;1,1,B37*$D$6)*(1-BF37)/'Factors d''emissió'!$D$73</f>
        <v>#N/A</v>
      </c>
      <c r="T37" s="208" t="e">
        <f aca="false">'Emissions CO2'!$F$40*D37</f>
        <v>#N/A</v>
      </c>
      <c r="U37" s="207" t="e">
        <f aca="false">(('Fixació CO2'!$F$14+'Fixació CO2'!$F$15)*D37*(1-'Factors d''emissió'!$E$55))*IF(B37*$D$6&gt;1,1,B37*$D$6)</f>
        <v>#N/A</v>
      </c>
      <c r="V37" s="207" t="n">
        <f aca="false">(((Dades!$E$133-Dades!$E$132)*Dades!$E$130+(Dades!$F$133-Dades!$F$132)*Dades!$F$130+(Dades!$E$141-Dades!$E$140)*Dades!$E$138+(Dades!$F$141-Dades!$F$140)*Dades!$F$138)*1000/5)+'Fixació CO2'!$F$21+'Fixació CO2'!$F$26*IF(B37*$D$6&gt;1,1,B37*$D$6)+(Dades!$F$121*('Factors d''emissió'!$C$154+('Factors d''emissió'!$C$156-'Factors d''emissió'!$C$154)*IF(B37*$D$6&gt;1,1,B37*$D$6))/10)+'Fixació CO2'!$F$22*IF(B37*$D$6&gt;1,1,B37*$D$6)</f>
        <v>0</v>
      </c>
      <c r="W37" s="207" t="e">
        <f aca="false">('Fixació CO2'!$F$40+'Fixació CO2'!$F$41+('Fixació CO2'!$F$39+'Fixació CO2'!$F$47+'Fixació CO2'!$F$48+'Fixació CO2'!$F$49)*IF(B37*$D$6&gt;1,1,B37*$D$6))*D37</f>
        <v>#N/A</v>
      </c>
      <c r="X37" s="207" t="n">
        <f aca="false">SUM('Fixació CO2'!$F$55:$F$57)</f>
        <v>0</v>
      </c>
      <c r="Y37" s="207" t="e">
        <f aca="false">(SUM(E37:T37)-U37)/1000</f>
        <v>#N/A</v>
      </c>
      <c r="Z37" s="207" t="e">
        <f aca="false">(V37+W37+X37)/1000</f>
        <v>#N/A</v>
      </c>
      <c r="AA37" s="207" t="e">
        <f aca="false">Y37-Z37</f>
        <v>#N/A</v>
      </c>
      <c r="AB37" s="207" t="e">
        <f aca="false">AA37*1000/ABS(Dades!$F$7)</f>
        <v>#N/A</v>
      </c>
      <c r="AC37" s="207" t="e">
        <f aca="false">AB37*10</f>
        <v>#N/A</v>
      </c>
      <c r="AD37" s="209"/>
      <c r="AE37" s="210" t="n">
        <f aca="false">C37</f>
        <v>26</v>
      </c>
      <c r="AF37" s="207" t="e">
        <f aca="false">AF36+Y37</f>
        <v>#N/A</v>
      </c>
      <c r="AG37" s="207" t="e">
        <f aca="false">AG36+Z37</f>
        <v>#N/A</v>
      </c>
      <c r="AH37" s="207" t="e">
        <f aca="false">AF37-AG37</f>
        <v>#N/A</v>
      </c>
      <c r="AJ37" s="207" t="e">
        <f aca="false">(SUM(E37:T37)-U37-F37-G37)/1000</f>
        <v>#N/A</v>
      </c>
      <c r="AK37" s="207" t="e">
        <f aca="false">(V37+W37+X37)/1000</f>
        <v>#N/A</v>
      </c>
      <c r="AL37" s="211"/>
      <c r="AM37" s="207" t="e">
        <f aca="false">AJ37-AK37</f>
        <v>#N/A</v>
      </c>
      <c r="AN37" s="207" t="e">
        <f aca="false">AM37*1000/ABS(Dades!$F$7)</f>
        <v>#N/A</v>
      </c>
      <c r="AO37" s="207" t="e">
        <f aca="false">AN37*10</f>
        <v>#N/A</v>
      </c>
      <c r="AQ37" s="207" t="e">
        <f aca="false">AQ36+AJ37</f>
        <v>#N/A</v>
      </c>
      <c r="AR37" s="207" t="e">
        <f aca="false">AR36+AK37</f>
        <v>#N/A</v>
      </c>
      <c r="AS37" s="207" t="e">
        <f aca="false">AQ37-AR37</f>
        <v>#N/A</v>
      </c>
      <c r="AU37" s="210" t="n">
        <f aca="false">C37</f>
        <v>26</v>
      </c>
      <c r="AV37" s="212" t="n">
        <f aca="false">E37</f>
        <v>0</v>
      </c>
      <c r="AW37" s="212" t="e">
        <f aca="false">F37</f>
        <v>#N/A</v>
      </c>
      <c r="AX37" s="212" t="n">
        <f aca="false">G37</f>
        <v>0</v>
      </c>
      <c r="AY37" s="210" t="e">
        <f aca="false">H37+K37+N37+Q37+T37</f>
        <v>#N/A</v>
      </c>
      <c r="AZ37" s="210" t="e">
        <f aca="false">I37+L37+O37+R37-U37</f>
        <v>#N/A</v>
      </c>
      <c r="BA37" s="210" t="e">
        <f aca="false">J37+M37+P37+S37</f>
        <v>#N/A</v>
      </c>
      <c r="BF37" s="214" t="e">
        <f aca="false">VLOOKUP(C37-1,mix_electric,3,FALSE())</f>
        <v>#N/A</v>
      </c>
    </row>
    <row r="38" customFormat="false" ht="14.4" hidden="false" customHeight="false" outlineLevel="0" collapsed="false">
      <c r="B38" s="204" t="n">
        <v>27</v>
      </c>
      <c r="C38" s="205" t="n">
        <f aca="false">C37+1</f>
        <v>27</v>
      </c>
      <c r="D38" s="206" t="e">
        <f aca="false">VLOOKUP(C38-1,mix_electric,2,FALSE())</f>
        <v>#N/A</v>
      </c>
      <c r="E38" s="207" t="n">
        <f aca="false">'Emissions CO2'!$F$20</f>
        <v>0</v>
      </c>
      <c r="F38" s="207" t="e">
        <f aca="false">'Emissions CO2'!$F$22*IF(B38*$D$6&gt;1,1,B38*$D$6)*D38/'Factors d''emissió'!$C$7</f>
        <v>#N/A</v>
      </c>
      <c r="G38" s="207" t="n">
        <f aca="false">'Emissions CO2'!$F$26*$B$61*IF($D$6*B38&gt;1,0,$D$6)</f>
        <v>0</v>
      </c>
      <c r="H38" s="207" t="e">
        <f aca="false">'Emissions CO2'!$F$36*IF(B38*$D$6&gt;1,1,B38*$D$6)*(D38*'Factors d''emissió'!$C$34+'Factors d''emissió'!$C$35*'Factors d''emissió'!$C$10+'Factors d''emissió'!$C$36*'Factors d''emissió'!$C$11+'Factors d''emissió'!$C$37*'Factors d''emissió'!$C$12)</f>
        <v>#N/A</v>
      </c>
      <c r="I38" s="207" t="e">
        <f aca="false">(('Emissions CO2'!$G$47*D38)+('Emissions CO2'!$G$48*D38))*IF(B38*$D$6&gt;1,1,B38*$D$6)</f>
        <v>#N/A</v>
      </c>
      <c r="J38" s="207" t="e">
        <f aca="false">'Emissions CO2'!$F$61*IF(B38*$D$6&gt;1,1,B38*$D$6)*(1-BF38)/'Factors d''emissió'!$D$73</f>
        <v>#N/A</v>
      </c>
      <c r="K38" s="207" t="e">
        <f aca="false">'Emissions CO2'!$F$37*D38*IF(B38*$D$6&gt;1,1,B38*$D$6)</f>
        <v>#N/A</v>
      </c>
      <c r="L38" s="207" t="e">
        <f aca="false">(('Emissions CO2'!$G$49*D38)+('Emissions CO2'!$G$50*D38))*IF(B38*$D$6&gt;1,1,B38*$D$6)</f>
        <v>#N/A</v>
      </c>
      <c r="M38" s="207" t="e">
        <f aca="false">'Emissions CO2'!$F$62*IF(B38*$D$6&gt;1,1,B38*$D$6)*(1-BF38)/'Factors d''emissió'!$D$73</f>
        <v>#N/A</v>
      </c>
      <c r="N38" s="207" t="e">
        <f aca="false">'Emissions CO2'!$F$38*D38*IF(B38*$D$6&gt;1,1,B38*$D$6)</f>
        <v>#N/A</v>
      </c>
      <c r="O38" s="207" t="e">
        <f aca="false">(('Emissions CO2'!$G$51*D38)+('Emissions CO2'!$G$52*D38))*IF(B38*$D$6&gt;1,1,B38*$D$6)</f>
        <v>#N/A</v>
      </c>
      <c r="P38" s="207" t="e">
        <f aca="false">'Emissions CO2'!$F$63*IF(B38*$D$6&gt;1,1,B38*$D$6)*(1-BF38)/'Factors d''emissió'!$D$73</f>
        <v>#N/A</v>
      </c>
      <c r="Q38" s="207" t="e">
        <f aca="false">'Emissions CO2'!$F$39*IF(B38*$D$6&gt;1,1,B38*$D$6)*(D38*'Factors d''emissió'!$C$41+'Factors d''emissió'!$C$10*'Factors d''emissió'!$C$42+'Factors d''emissió'!$C$11*'Factors d''emissió'!$C$43+'Factors d''emissió'!$C$12*'Factors d''emissió'!$C$44)</f>
        <v>#N/A</v>
      </c>
      <c r="R38" s="207" t="e">
        <f aca="false">(('Emissions CO2'!$G$53*D38)+('Emissions CO2'!$G$54*D38))*IF(B38*$D$6&gt;1,1,B38*$D$6)</f>
        <v>#N/A</v>
      </c>
      <c r="S38" s="207" t="e">
        <f aca="false">'Emissions CO2'!$F$64*IF(B38*$D$6&gt;1,1,B38*$D$6)*(1-BF38)/'Factors d''emissió'!$D$73</f>
        <v>#N/A</v>
      </c>
      <c r="T38" s="208" t="e">
        <f aca="false">'Emissions CO2'!$F$40*D38</f>
        <v>#N/A</v>
      </c>
      <c r="U38" s="207" t="e">
        <f aca="false">(('Fixació CO2'!$F$14+'Fixació CO2'!$F$15)*D38*(1-'Factors d''emissió'!$E$55))*IF(B38*$D$6&gt;1,1,B38*$D$6)</f>
        <v>#N/A</v>
      </c>
      <c r="V38" s="207" t="n">
        <f aca="false">(((Dades!$E$133-Dades!$E$132)*Dades!$E$130+(Dades!$F$133-Dades!$F$132)*Dades!$F$130+(Dades!$E$141-Dades!$E$140)*Dades!$E$138+(Dades!$F$141-Dades!$F$140)*Dades!$F$138)*1000/5)+'Fixació CO2'!$F$21+'Fixació CO2'!$F$26*IF(B38*$D$6&gt;1,1,B38*$D$6)+(Dades!$F$121*('Factors d''emissió'!$C$154+('Factors d''emissió'!$C$156-'Factors d''emissió'!$C$154)*IF(B38*$D$6&gt;1,1,B38*$D$6))/10)+'Fixació CO2'!$F$22*IF(B38*$D$6&gt;1,1,B38*$D$6)</f>
        <v>0</v>
      </c>
      <c r="W38" s="207" t="e">
        <f aca="false">('Fixació CO2'!$F$40+'Fixació CO2'!$F$41+('Fixació CO2'!$F$39+'Fixació CO2'!$F$47+'Fixació CO2'!$F$48+'Fixació CO2'!$F$49)*IF(B38*$D$6&gt;1,1,B38*$D$6))*D38</f>
        <v>#N/A</v>
      </c>
      <c r="X38" s="207" t="n">
        <f aca="false">SUM('Fixació CO2'!$F$55:$F$57)</f>
        <v>0</v>
      </c>
      <c r="Y38" s="207" t="e">
        <f aca="false">(SUM(E38:T38)-U38)/1000</f>
        <v>#N/A</v>
      </c>
      <c r="Z38" s="207" t="e">
        <f aca="false">(V38+W38+X38)/1000</f>
        <v>#N/A</v>
      </c>
      <c r="AA38" s="207" t="e">
        <f aca="false">Y38-Z38</f>
        <v>#N/A</v>
      </c>
      <c r="AB38" s="207" t="e">
        <f aca="false">AA38*1000/ABS(Dades!$F$7)</f>
        <v>#N/A</v>
      </c>
      <c r="AC38" s="207" t="e">
        <f aca="false">AB38*10</f>
        <v>#N/A</v>
      </c>
      <c r="AD38" s="209"/>
      <c r="AE38" s="210" t="n">
        <f aca="false">C38</f>
        <v>27</v>
      </c>
      <c r="AF38" s="207" t="e">
        <f aca="false">AF37+Y38</f>
        <v>#N/A</v>
      </c>
      <c r="AG38" s="207" t="e">
        <f aca="false">AG37+Z38</f>
        <v>#N/A</v>
      </c>
      <c r="AH38" s="207" t="e">
        <f aca="false">AF38-AG38</f>
        <v>#N/A</v>
      </c>
      <c r="AJ38" s="207" t="e">
        <f aca="false">(SUM(E38:T38)-U38-F38-G38)/1000</f>
        <v>#N/A</v>
      </c>
      <c r="AK38" s="207" t="e">
        <f aca="false">(V38+W38+X38)/1000</f>
        <v>#N/A</v>
      </c>
      <c r="AL38" s="211"/>
      <c r="AM38" s="207" t="e">
        <f aca="false">AJ38-AK38</f>
        <v>#N/A</v>
      </c>
      <c r="AN38" s="207" t="e">
        <f aca="false">AM38*1000/ABS(Dades!$F$7)</f>
        <v>#N/A</v>
      </c>
      <c r="AO38" s="207" t="e">
        <f aca="false">AN38*10</f>
        <v>#N/A</v>
      </c>
      <c r="AQ38" s="207" t="e">
        <f aca="false">AQ37+AJ38</f>
        <v>#N/A</v>
      </c>
      <c r="AR38" s="207" t="e">
        <f aca="false">AR37+AK38</f>
        <v>#N/A</v>
      </c>
      <c r="AS38" s="207" t="e">
        <f aca="false">AQ38-AR38</f>
        <v>#N/A</v>
      </c>
      <c r="AU38" s="210" t="n">
        <f aca="false">C38</f>
        <v>27</v>
      </c>
      <c r="AV38" s="212" t="n">
        <f aca="false">E38</f>
        <v>0</v>
      </c>
      <c r="AW38" s="212" t="e">
        <f aca="false">F38</f>
        <v>#N/A</v>
      </c>
      <c r="AX38" s="212" t="n">
        <f aca="false">G38</f>
        <v>0</v>
      </c>
      <c r="AY38" s="210" t="e">
        <f aca="false">H38+K38+N38+Q38+T38</f>
        <v>#N/A</v>
      </c>
      <c r="AZ38" s="210" t="e">
        <f aca="false">I38+L38+O38+R38-U38</f>
        <v>#N/A</v>
      </c>
      <c r="BA38" s="210" t="e">
        <f aca="false">J38+M38+P38+S38</f>
        <v>#N/A</v>
      </c>
      <c r="BF38" s="214" t="e">
        <f aca="false">VLOOKUP(C38-1,mix_electric,3,FALSE())</f>
        <v>#N/A</v>
      </c>
    </row>
    <row r="39" customFormat="false" ht="14.4" hidden="false" customHeight="false" outlineLevel="0" collapsed="false">
      <c r="B39" s="204" t="n">
        <v>28</v>
      </c>
      <c r="C39" s="205" t="n">
        <f aca="false">C38+1</f>
        <v>28</v>
      </c>
      <c r="D39" s="206" t="e">
        <f aca="false">VLOOKUP(C39-1,mix_electric,2,FALSE())</f>
        <v>#N/A</v>
      </c>
      <c r="E39" s="207" t="n">
        <f aca="false">'Emissions CO2'!$F$20</f>
        <v>0</v>
      </c>
      <c r="F39" s="207" t="e">
        <f aca="false">'Emissions CO2'!$F$22*IF(B39*$D$6&gt;1,1,B39*$D$6)*D39/'Factors d''emissió'!$C$7</f>
        <v>#N/A</v>
      </c>
      <c r="G39" s="207" t="n">
        <f aca="false">'Emissions CO2'!$F$26*$B$61*IF($D$6*B39&gt;1,0,$D$6)</f>
        <v>0</v>
      </c>
      <c r="H39" s="207" t="e">
        <f aca="false">'Emissions CO2'!$F$36*IF(B39*$D$6&gt;1,1,B39*$D$6)*(D39*'Factors d''emissió'!$C$34+'Factors d''emissió'!$C$35*'Factors d''emissió'!$C$10+'Factors d''emissió'!$C$36*'Factors d''emissió'!$C$11+'Factors d''emissió'!$C$37*'Factors d''emissió'!$C$12)</f>
        <v>#N/A</v>
      </c>
      <c r="I39" s="207" t="e">
        <f aca="false">(('Emissions CO2'!$G$47*D39)+('Emissions CO2'!$G$48*D39))*IF(B39*$D$6&gt;1,1,B39*$D$6)</f>
        <v>#N/A</v>
      </c>
      <c r="J39" s="207" t="e">
        <f aca="false">'Emissions CO2'!$F$61*IF(B39*$D$6&gt;1,1,B39*$D$6)*(1-BF39)/'Factors d''emissió'!$D$73</f>
        <v>#N/A</v>
      </c>
      <c r="K39" s="207" t="e">
        <f aca="false">'Emissions CO2'!$F$37*D39*IF(B39*$D$6&gt;1,1,B39*$D$6)</f>
        <v>#N/A</v>
      </c>
      <c r="L39" s="207" t="e">
        <f aca="false">(('Emissions CO2'!$G$49*D39)+('Emissions CO2'!$G$50*D39))*IF(B39*$D$6&gt;1,1,B39*$D$6)</f>
        <v>#N/A</v>
      </c>
      <c r="M39" s="207" t="e">
        <f aca="false">'Emissions CO2'!$F$62*IF(B39*$D$6&gt;1,1,B39*$D$6)*(1-BF39)/'Factors d''emissió'!$D$73</f>
        <v>#N/A</v>
      </c>
      <c r="N39" s="207" t="e">
        <f aca="false">'Emissions CO2'!$F$38*D39*IF(B39*$D$6&gt;1,1,B39*$D$6)</f>
        <v>#N/A</v>
      </c>
      <c r="O39" s="207" t="e">
        <f aca="false">(('Emissions CO2'!$G$51*D39)+('Emissions CO2'!$G$52*D39))*IF(B39*$D$6&gt;1,1,B39*$D$6)</f>
        <v>#N/A</v>
      </c>
      <c r="P39" s="207" t="e">
        <f aca="false">'Emissions CO2'!$F$63*IF(B39*$D$6&gt;1,1,B39*$D$6)*(1-BF39)/'Factors d''emissió'!$D$73</f>
        <v>#N/A</v>
      </c>
      <c r="Q39" s="207" t="e">
        <f aca="false">'Emissions CO2'!$F$39*IF(B39*$D$6&gt;1,1,B39*$D$6)*(D39*'Factors d''emissió'!$C$41+'Factors d''emissió'!$C$10*'Factors d''emissió'!$C$42+'Factors d''emissió'!$C$11*'Factors d''emissió'!$C$43+'Factors d''emissió'!$C$12*'Factors d''emissió'!$C$44)</f>
        <v>#N/A</v>
      </c>
      <c r="R39" s="207" t="e">
        <f aca="false">(('Emissions CO2'!$G$53*D39)+('Emissions CO2'!$G$54*D39))*IF(B39*$D$6&gt;1,1,B39*$D$6)</f>
        <v>#N/A</v>
      </c>
      <c r="S39" s="207" t="e">
        <f aca="false">'Emissions CO2'!$F$64*IF(B39*$D$6&gt;1,1,B39*$D$6)*(1-BF39)/'Factors d''emissió'!$D$73</f>
        <v>#N/A</v>
      </c>
      <c r="T39" s="208" t="e">
        <f aca="false">'Emissions CO2'!$F$40*D39</f>
        <v>#N/A</v>
      </c>
      <c r="U39" s="207" t="e">
        <f aca="false">(('Fixació CO2'!$F$14+'Fixació CO2'!$F$15)*D39*(1-'Factors d''emissió'!$E$55))*IF(B39*$D$6&gt;1,1,B39*$D$6)</f>
        <v>#N/A</v>
      </c>
      <c r="V39" s="207" t="n">
        <f aca="false">(((Dades!$E$133-Dades!$E$132)*Dades!$E$130+(Dades!$F$133-Dades!$F$132)*Dades!$F$130+(Dades!$E$141-Dades!$E$140)*Dades!$E$138+(Dades!$F$141-Dades!$F$140)*Dades!$F$138)*1000/5)+'Fixació CO2'!$F$21+'Fixació CO2'!$F$26*IF(B39*$D$6&gt;1,1,B39*$D$6)+(Dades!$F$121*('Factors d''emissió'!$C$154+('Factors d''emissió'!$C$156-'Factors d''emissió'!$C$154)*IF(B39*$D$6&gt;1,1,B39*$D$6))/10)+'Fixació CO2'!$F$22*IF(B39*$D$6&gt;1,1,B39*$D$6)</f>
        <v>0</v>
      </c>
      <c r="W39" s="207" t="e">
        <f aca="false">('Fixació CO2'!$F$40+'Fixació CO2'!$F$41+('Fixació CO2'!$F$39+'Fixació CO2'!$F$47+'Fixació CO2'!$F$48+'Fixació CO2'!$F$49)*IF(B39*$D$6&gt;1,1,B39*$D$6))*D39</f>
        <v>#N/A</v>
      </c>
      <c r="X39" s="207" t="n">
        <f aca="false">SUM('Fixació CO2'!$F$55:$F$57)</f>
        <v>0</v>
      </c>
      <c r="Y39" s="207" t="e">
        <f aca="false">(SUM(E39:T39)-U39)/1000</f>
        <v>#N/A</v>
      </c>
      <c r="Z39" s="207" t="e">
        <f aca="false">(V39+W39+X39)/1000</f>
        <v>#N/A</v>
      </c>
      <c r="AA39" s="207" t="e">
        <f aca="false">Y39-Z39</f>
        <v>#N/A</v>
      </c>
      <c r="AB39" s="207" t="e">
        <f aca="false">AA39*1000/ABS(Dades!$F$7)</f>
        <v>#N/A</v>
      </c>
      <c r="AC39" s="207" t="e">
        <f aca="false">AB39*10</f>
        <v>#N/A</v>
      </c>
      <c r="AD39" s="209"/>
      <c r="AE39" s="210" t="n">
        <f aca="false">C39</f>
        <v>28</v>
      </c>
      <c r="AF39" s="207" t="e">
        <f aca="false">AF38+Y39</f>
        <v>#N/A</v>
      </c>
      <c r="AG39" s="207" t="e">
        <f aca="false">AG38+Z39</f>
        <v>#N/A</v>
      </c>
      <c r="AH39" s="207" t="e">
        <f aca="false">AF39-AG39</f>
        <v>#N/A</v>
      </c>
      <c r="AJ39" s="207" t="e">
        <f aca="false">(SUM(E39:T39)-U39-F39-G39)/1000</f>
        <v>#N/A</v>
      </c>
      <c r="AK39" s="207" t="e">
        <f aca="false">(V39+W39+X39)/1000</f>
        <v>#N/A</v>
      </c>
      <c r="AL39" s="211"/>
      <c r="AM39" s="207" t="e">
        <f aca="false">AJ39-AK39</f>
        <v>#N/A</v>
      </c>
      <c r="AN39" s="207" t="e">
        <f aca="false">AM39*1000/ABS(Dades!$F$7)</f>
        <v>#N/A</v>
      </c>
      <c r="AO39" s="207" t="e">
        <f aca="false">AN39*10</f>
        <v>#N/A</v>
      </c>
      <c r="AQ39" s="207" t="e">
        <f aca="false">AQ38+AJ39</f>
        <v>#N/A</v>
      </c>
      <c r="AR39" s="207" t="e">
        <f aca="false">AR38+AK39</f>
        <v>#N/A</v>
      </c>
      <c r="AS39" s="207" t="e">
        <f aca="false">AQ39-AR39</f>
        <v>#N/A</v>
      </c>
      <c r="AU39" s="210" t="n">
        <f aca="false">C39</f>
        <v>28</v>
      </c>
      <c r="AV39" s="212" t="n">
        <f aca="false">E39</f>
        <v>0</v>
      </c>
      <c r="AW39" s="212" t="e">
        <f aca="false">F39</f>
        <v>#N/A</v>
      </c>
      <c r="AX39" s="212" t="n">
        <f aca="false">G39</f>
        <v>0</v>
      </c>
      <c r="AY39" s="210" t="e">
        <f aca="false">H39+K39+N39+Q39+T39</f>
        <v>#N/A</v>
      </c>
      <c r="AZ39" s="210" t="e">
        <f aca="false">I39+L39+O39+R39-U39</f>
        <v>#N/A</v>
      </c>
      <c r="BA39" s="210" t="e">
        <f aca="false">J39+M39+P39+S39</f>
        <v>#N/A</v>
      </c>
      <c r="BF39" s="214" t="e">
        <f aca="false">VLOOKUP(C39-1,mix_electric,3,FALSE())</f>
        <v>#N/A</v>
      </c>
    </row>
    <row r="40" customFormat="false" ht="14.4" hidden="false" customHeight="false" outlineLevel="0" collapsed="false">
      <c r="B40" s="204" t="n">
        <v>29</v>
      </c>
      <c r="C40" s="205" t="n">
        <f aca="false">C39+1</f>
        <v>29</v>
      </c>
      <c r="D40" s="206" t="e">
        <f aca="false">VLOOKUP(C40-1,mix_electric,2,FALSE())</f>
        <v>#N/A</v>
      </c>
      <c r="E40" s="207" t="n">
        <f aca="false">'Emissions CO2'!$F$20</f>
        <v>0</v>
      </c>
      <c r="F40" s="207" t="e">
        <f aca="false">'Emissions CO2'!$F$22*IF(B40*$D$6&gt;1,1,B40*$D$6)*D40/'Factors d''emissió'!$C$7</f>
        <v>#N/A</v>
      </c>
      <c r="G40" s="207" t="n">
        <f aca="false">'Emissions CO2'!$F$26*$B$61*IF($D$6*B40&gt;1,0,$D$6)</f>
        <v>0</v>
      </c>
      <c r="H40" s="207" t="e">
        <f aca="false">'Emissions CO2'!$F$36*IF(B40*$D$6&gt;1,1,B40*$D$6)*(D40*'Factors d''emissió'!$C$34+'Factors d''emissió'!$C$35*'Factors d''emissió'!$C$10+'Factors d''emissió'!$C$36*'Factors d''emissió'!$C$11+'Factors d''emissió'!$C$37*'Factors d''emissió'!$C$12)</f>
        <v>#N/A</v>
      </c>
      <c r="I40" s="207" t="e">
        <f aca="false">(('Emissions CO2'!$G$47*D40)+('Emissions CO2'!$G$48*D40))*IF(B40*$D$6&gt;1,1,B40*$D$6)</f>
        <v>#N/A</v>
      </c>
      <c r="J40" s="207" t="e">
        <f aca="false">'Emissions CO2'!$F$61*IF(B40*$D$6&gt;1,1,B40*$D$6)*(1-BF40)/'Factors d''emissió'!$D$73</f>
        <v>#N/A</v>
      </c>
      <c r="K40" s="207" t="e">
        <f aca="false">'Emissions CO2'!$F$37*D40*IF(B40*$D$6&gt;1,1,B40*$D$6)</f>
        <v>#N/A</v>
      </c>
      <c r="L40" s="207" t="e">
        <f aca="false">(('Emissions CO2'!$G$49*D40)+('Emissions CO2'!$G$50*D40))*IF(B40*$D$6&gt;1,1,B40*$D$6)</f>
        <v>#N/A</v>
      </c>
      <c r="M40" s="207" t="e">
        <f aca="false">'Emissions CO2'!$F$62*IF(B40*$D$6&gt;1,1,B40*$D$6)*(1-BF40)/'Factors d''emissió'!$D$73</f>
        <v>#N/A</v>
      </c>
      <c r="N40" s="207" t="e">
        <f aca="false">'Emissions CO2'!$F$38*D40*IF(B40*$D$6&gt;1,1,B40*$D$6)</f>
        <v>#N/A</v>
      </c>
      <c r="O40" s="207" t="e">
        <f aca="false">(('Emissions CO2'!$G$51*D40)+('Emissions CO2'!$G$52*D40))*IF(B40*$D$6&gt;1,1,B40*$D$6)</f>
        <v>#N/A</v>
      </c>
      <c r="P40" s="207" t="e">
        <f aca="false">'Emissions CO2'!$F$63*IF(B40*$D$6&gt;1,1,B40*$D$6)*(1-BF40)/'Factors d''emissió'!$D$73</f>
        <v>#N/A</v>
      </c>
      <c r="Q40" s="207" t="e">
        <f aca="false">'Emissions CO2'!$F$39*IF(B40*$D$6&gt;1,1,B40*$D$6)*(D40*'Factors d''emissió'!$C$41+'Factors d''emissió'!$C$10*'Factors d''emissió'!$C$42+'Factors d''emissió'!$C$11*'Factors d''emissió'!$C$43+'Factors d''emissió'!$C$12*'Factors d''emissió'!$C$44)</f>
        <v>#N/A</v>
      </c>
      <c r="R40" s="207" t="e">
        <f aca="false">(('Emissions CO2'!$G$53*D40)+('Emissions CO2'!$G$54*D40))*IF(B40*$D$6&gt;1,1,B40*$D$6)</f>
        <v>#N/A</v>
      </c>
      <c r="S40" s="207" t="e">
        <f aca="false">'Emissions CO2'!$F$64*IF(B40*$D$6&gt;1,1,B40*$D$6)*(1-BF40)/'Factors d''emissió'!$D$73</f>
        <v>#N/A</v>
      </c>
      <c r="T40" s="208" t="e">
        <f aca="false">'Emissions CO2'!$F$40*D40</f>
        <v>#N/A</v>
      </c>
      <c r="U40" s="207" t="e">
        <f aca="false">(('Fixació CO2'!$F$14+'Fixació CO2'!$F$15)*D40*(1-'Factors d''emissió'!$E$55))*IF(B40*$D$6&gt;1,1,B40*$D$6)</f>
        <v>#N/A</v>
      </c>
      <c r="V40" s="207" t="n">
        <f aca="false">(((Dades!$E$133-Dades!$E$132)*Dades!$E$130+(Dades!$F$133-Dades!$F$132)*Dades!$F$130+(Dades!$E$141-Dades!$E$140)*Dades!$E$138+(Dades!$F$141-Dades!$F$140)*Dades!$F$138)*1000/5)+'Fixació CO2'!$F$21+'Fixació CO2'!$F$26*IF(B40*$D$6&gt;1,1,B40*$D$6)+(Dades!$F$121*('Factors d''emissió'!$C$154+('Factors d''emissió'!$C$156-'Factors d''emissió'!$C$154)*IF(B40*$D$6&gt;1,1,B40*$D$6))/10)+'Fixació CO2'!$F$22*IF(B40*$D$6&gt;1,1,B40*$D$6)</f>
        <v>0</v>
      </c>
      <c r="W40" s="207" t="e">
        <f aca="false">('Fixació CO2'!$F$40+'Fixació CO2'!$F$41+('Fixació CO2'!$F$39+'Fixació CO2'!$F$47+'Fixació CO2'!$F$48+'Fixació CO2'!$F$49)*IF(B40*$D$6&gt;1,1,B40*$D$6))*D40</f>
        <v>#N/A</v>
      </c>
      <c r="X40" s="207" t="n">
        <f aca="false">SUM('Fixació CO2'!$F$55:$F$57)</f>
        <v>0</v>
      </c>
      <c r="Y40" s="207" t="e">
        <f aca="false">(SUM(E40:T40)-U40)/1000</f>
        <v>#N/A</v>
      </c>
      <c r="Z40" s="207" t="e">
        <f aca="false">(V40+W40+X40)/1000</f>
        <v>#N/A</v>
      </c>
      <c r="AA40" s="207" t="e">
        <f aca="false">Y40-Z40</f>
        <v>#N/A</v>
      </c>
      <c r="AB40" s="207" t="e">
        <f aca="false">AA40*1000/ABS(Dades!$F$7)</f>
        <v>#N/A</v>
      </c>
      <c r="AC40" s="207" t="e">
        <f aca="false">AB40*10</f>
        <v>#N/A</v>
      </c>
      <c r="AD40" s="209"/>
      <c r="AE40" s="210" t="n">
        <f aca="false">C40</f>
        <v>29</v>
      </c>
      <c r="AF40" s="207" t="e">
        <f aca="false">AF39+Y40</f>
        <v>#N/A</v>
      </c>
      <c r="AG40" s="207" t="e">
        <f aca="false">AG39+Z40</f>
        <v>#N/A</v>
      </c>
      <c r="AH40" s="207" t="e">
        <f aca="false">AF40-AG40</f>
        <v>#N/A</v>
      </c>
      <c r="AJ40" s="207" t="e">
        <f aca="false">(SUM(E40:T40)-U40-F40-G40)/1000</f>
        <v>#N/A</v>
      </c>
      <c r="AK40" s="207" t="e">
        <f aca="false">(V40+W40+X40)/1000</f>
        <v>#N/A</v>
      </c>
      <c r="AL40" s="211"/>
      <c r="AM40" s="207" t="e">
        <f aca="false">AJ40-AK40</f>
        <v>#N/A</v>
      </c>
      <c r="AN40" s="207" t="e">
        <f aca="false">AM40*1000/ABS(Dades!$F$7)</f>
        <v>#N/A</v>
      </c>
      <c r="AO40" s="207" t="e">
        <f aca="false">AN40*10</f>
        <v>#N/A</v>
      </c>
      <c r="AQ40" s="207" t="e">
        <f aca="false">AQ39+AJ40</f>
        <v>#N/A</v>
      </c>
      <c r="AR40" s="207" t="e">
        <f aca="false">AR39+AK40</f>
        <v>#N/A</v>
      </c>
      <c r="AS40" s="207" t="e">
        <f aca="false">AQ40-AR40</f>
        <v>#N/A</v>
      </c>
      <c r="AU40" s="210" t="n">
        <f aca="false">C40</f>
        <v>29</v>
      </c>
      <c r="AV40" s="212" t="n">
        <f aca="false">E40</f>
        <v>0</v>
      </c>
      <c r="AW40" s="212" t="e">
        <f aca="false">F40</f>
        <v>#N/A</v>
      </c>
      <c r="AX40" s="212" t="n">
        <f aca="false">G40</f>
        <v>0</v>
      </c>
      <c r="AY40" s="210" t="e">
        <f aca="false">H40+K40+N40+Q40+T40</f>
        <v>#N/A</v>
      </c>
      <c r="AZ40" s="210" t="e">
        <f aca="false">I40+L40+O40+R40-U40</f>
        <v>#N/A</v>
      </c>
      <c r="BA40" s="210" t="e">
        <f aca="false">J40+M40+P40+S40</f>
        <v>#N/A</v>
      </c>
      <c r="BF40" s="214" t="e">
        <f aca="false">VLOOKUP(C40-1,mix_electric,3,FALSE())</f>
        <v>#N/A</v>
      </c>
    </row>
    <row r="41" customFormat="false" ht="14.4" hidden="false" customHeight="false" outlineLevel="0" collapsed="false">
      <c r="B41" s="204" t="n">
        <v>30</v>
      </c>
      <c r="C41" s="205" t="n">
        <f aca="false">C40+1</f>
        <v>30</v>
      </c>
      <c r="D41" s="206" t="e">
        <f aca="false">VLOOKUP(C41-1,mix_electric,2,FALSE())</f>
        <v>#N/A</v>
      </c>
      <c r="E41" s="207" t="n">
        <f aca="false">'Emissions CO2'!$F$20</f>
        <v>0</v>
      </c>
      <c r="F41" s="207" t="e">
        <f aca="false">'Emissions CO2'!$F$22*IF(B41*$D$6&gt;1,1,B41*$D$6)*D41/'Factors d''emissió'!$C$7</f>
        <v>#N/A</v>
      </c>
      <c r="G41" s="207" t="n">
        <f aca="false">'Emissions CO2'!$F$26*$B$61*IF($D$6*B41&gt;1,0,$D$6)</f>
        <v>0</v>
      </c>
      <c r="H41" s="207" t="e">
        <f aca="false">'Emissions CO2'!$F$36*IF(B41*$D$6&gt;1,1,B41*$D$6)*(D41*'Factors d''emissió'!$C$34+'Factors d''emissió'!$C$35*'Factors d''emissió'!$C$10+'Factors d''emissió'!$C$36*'Factors d''emissió'!$C$11+'Factors d''emissió'!$C$37*'Factors d''emissió'!$C$12)</f>
        <v>#N/A</v>
      </c>
      <c r="I41" s="207" t="e">
        <f aca="false">(('Emissions CO2'!$G$47*D41)+('Emissions CO2'!$G$48*D41))*IF(B41*$D$6&gt;1,1,B41*$D$6)</f>
        <v>#N/A</v>
      </c>
      <c r="J41" s="207" t="e">
        <f aca="false">'Emissions CO2'!$F$61*IF(B41*$D$6&gt;1,1,B41*$D$6)*(1-BF41)/'Factors d''emissió'!$D$73</f>
        <v>#N/A</v>
      </c>
      <c r="K41" s="207" t="e">
        <f aca="false">'Emissions CO2'!$F$37*D41*IF(B41*$D$6&gt;1,1,B41*$D$6)</f>
        <v>#N/A</v>
      </c>
      <c r="L41" s="207" t="e">
        <f aca="false">(('Emissions CO2'!$G$49*D41)+('Emissions CO2'!$G$50*D41))*IF(B41*$D$6&gt;1,1,B41*$D$6)</f>
        <v>#N/A</v>
      </c>
      <c r="M41" s="207" t="e">
        <f aca="false">'Emissions CO2'!$F$62*IF(B41*$D$6&gt;1,1,B41*$D$6)*(1-BF41)/'Factors d''emissió'!$D$73</f>
        <v>#N/A</v>
      </c>
      <c r="N41" s="207" t="e">
        <f aca="false">'Emissions CO2'!$F$38*D41*IF(B41*$D$6&gt;1,1,B41*$D$6)</f>
        <v>#N/A</v>
      </c>
      <c r="O41" s="207" t="e">
        <f aca="false">(('Emissions CO2'!$G$51*D41)+('Emissions CO2'!$G$52*D41))*IF(B41*$D$6&gt;1,1,B41*$D$6)</f>
        <v>#N/A</v>
      </c>
      <c r="P41" s="207" t="e">
        <f aca="false">'Emissions CO2'!$F$63*IF(B41*$D$6&gt;1,1,B41*$D$6)*(1-BF41)/'Factors d''emissió'!$D$73</f>
        <v>#N/A</v>
      </c>
      <c r="Q41" s="207" t="e">
        <f aca="false">'Emissions CO2'!$F$39*IF(B41*$D$6&gt;1,1,B41*$D$6)*(D41*'Factors d''emissió'!$C$41+'Factors d''emissió'!$C$10*'Factors d''emissió'!$C$42+'Factors d''emissió'!$C$11*'Factors d''emissió'!$C$43+'Factors d''emissió'!$C$12*'Factors d''emissió'!$C$44)</f>
        <v>#N/A</v>
      </c>
      <c r="R41" s="207" t="e">
        <f aca="false">(('Emissions CO2'!$G$53*D41)+('Emissions CO2'!$G$54*D41))*IF(B41*$D$6&gt;1,1,B41*$D$6)</f>
        <v>#N/A</v>
      </c>
      <c r="S41" s="207" t="e">
        <f aca="false">'Emissions CO2'!$F$64*IF(B41*$D$6&gt;1,1,B41*$D$6)*(1-BF41)/'Factors d''emissió'!$D$73</f>
        <v>#N/A</v>
      </c>
      <c r="T41" s="208" t="e">
        <f aca="false">'Emissions CO2'!$F$40*D41</f>
        <v>#N/A</v>
      </c>
      <c r="U41" s="207" t="e">
        <f aca="false">(('Fixació CO2'!$F$14+'Fixació CO2'!$F$15)*D41*(1-'Factors d''emissió'!$E$55))*IF(B41*$D$6&gt;1,1,B41*$D$6)</f>
        <v>#N/A</v>
      </c>
      <c r="V41" s="207" t="n">
        <f aca="false">(((Dades!$E$133-Dades!$E$132)*Dades!$E$130+(Dades!$F$133-Dades!$F$132)*Dades!$F$130+(Dades!$E$141-Dades!$E$140)*Dades!$E$138+(Dades!$F$141-Dades!$F$140)*Dades!$F$138)*1000/5)+'Fixació CO2'!$F$21+'Fixació CO2'!$F$26*IF(B41*$D$6&gt;1,1,B41*$D$6)+(Dades!$F$121*('Factors d''emissió'!$C$154+('Factors d''emissió'!$C$156-'Factors d''emissió'!$C$154)*IF(B41*$D$6&gt;1,1,B41*$D$6))/10)+'Fixació CO2'!$F$22*IF(B41*$D$6&gt;1,1,B41*$D$6)</f>
        <v>0</v>
      </c>
      <c r="W41" s="207" t="e">
        <f aca="false">('Fixació CO2'!$F$40+'Fixació CO2'!$F$41+('Fixació CO2'!$F$39+'Fixació CO2'!$F$47+'Fixació CO2'!$F$48+'Fixació CO2'!$F$49)*IF(B41*$D$6&gt;1,1,B41*$D$6))*D41</f>
        <v>#N/A</v>
      </c>
      <c r="X41" s="207" t="n">
        <f aca="false">SUM('Fixació CO2'!$F$55:$F$57)</f>
        <v>0</v>
      </c>
      <c r="Y41" s="207" t="e">
        <f aca="false">(SUM(E41:T41)-U41)/1000</f>
        <v>#N/A</v>
      </c>
      <c r="Z41" s="207" t="e">
        <f aca="false">(V41+W41+X41)/1000</f>
        <v>#N/A</v>
      </c>
      <c r="AA41" s="207" t="e">
        <f aca="false">Y41-Z41</f>
        <v>#N/A</v>
      </c>
      <c r="AB41" s="207" t="e">
        <f aca="false">AA41*1000/ABS(Dades!$F$7)</f>
        <v>#N/A</v>
      </c>
      <c r="AC41" s="207" t="e">
        <f aca="false">AB41*10</f>
        <v>#N/A</v>
      </c>
      <c r="AD41" s="209"/>
      <c r="AE41" s="210" t="n">
        <f aca="false">C41</f>
        <v>30</v>
      </c>
      <c r="AF41" s="207" t="e">
        <f aca="false">AF40+Y41</f>
        <v>#N/A</v>
      </c>
      <c r="AG41" s="207" t="e">
        <f aca="false">AG40+Z41</f>
        <v>#N/A</v>
      </c>
      <c r="AH41" s="207" t="e">
        <f aca="false">AF41-AG41</f>
        <v>#N/A</v>
      </c>
      <c r="AJ41" s="207" t="e">
        <f aca="false">(SUM(E41:T41)-U41-F41-G41)/1000</f>
        <v>#N/A</v>
      </c>
      <c r="AK41" s="207" t="e">
        <f aca="false">(V41+W41+X41)/1000</f>
        <v>#N/A</v>
      </c>
      <c r="AL41" s="211"/>
      <c r="AM41" s="207" t="e">
        <f aca="false">AJ41-AK41</f>
        <v>#N/A</v>
      </c>
      <c r="AN41" s="207" t="e">
        <f aca="false">AM41*1000/ABS(Dades!$F$7)</f>
        <v>#N/A</v>
      </c>
      <c r="AO41" s="207" t="e">
        <f aca="false">AN41*10</f>
        <v>#N/A</v>
      </c>
      <c r="AQ41" s="207" t="e">
        <f aca="false">AQ40+AJ41</f>
        <v>#N/A</v>
      </c>
      <c r="AR41" s="207" t="e">
        <f aca="false">AR40+AK41</f>
        <v>#N/A</v>
      </c>
      <c r="AS41" s="207" t="e">
        <f aca="false">AQ41-AR41</f>
        <v>#N/A</v>
      </c>
      <c r="AU41" s="210" t="n">
        <f aca="false">C41</f>
        <v>30</v>
      </c>
      <c r="AV41" s="212" t="n">
        <f aca="false">E41</f>
        <v>0</v>
      </c>
      <c r="AW41" s="212" t="e">
        <f aca="false">F41</f>
        <v>#N/A</v>
      </c>
      <c r="AX41" s="212" t="n">
        <f aca="false">G41</f>
        <v>0</v>
      </c>
      <c r="AY41" s="210" t="e">
        <f aca="false">H41+K41+N41+Q41+T41</f>
        <v>#N/A</v>
      </c>
      <c r="AZ41" s="210" t="e">
        <f aca="false">I41+L41+O41+R41-U41</f>
        <v>#N/A</v>
      </c>
      <c r="BA41" s="210" t="e">
        <f aca="false">J41+M41+P41+S41</f>
        <v>#N/A</v>
      </c>
      <c r="BF41" s="214" t="e">
        <f aca="false">VLOOKUP(C41-1,mix_electric,3,FALSE())</f>
        <v>#N/A</v>
      </c>
    </row>
    <row r="42" customFormat="false" ht="14.4" hidden="false" customHeight="false" outlineLevel="0" collapsed="false">
      <c r="B42" s="204" t="n">
        <v>31</v>
      </c>
      <c r="C42" s="205" t="n">
        <f aca="false">C41+1</f>
        <v>31</v>
      </c>
      <c r="D42" s="206" t="e">
        <f aca="false">VLOOKUP(C42-1,mix_electric,2,FALSE())</f>
        <v>#N/A</v>
      </c>
      <c r="E42" s="207" t="n">
        <f aca="false">'Emissions CO2'!$F$20</f>
        <v>0</v>
      </c>
      <c r="F42" s="207" t="e">
        <f aca="false">'Emissions CO2'!$F$22*IF(B42*$D$6&gt;1,1,B42*$D$6)*D42/'Factors d''emissió'!$C$7</f>
        <v>#N/A</v>
      </c>
      <c r="G42" s="207" t="n">
        <f aca="false">'Emissions CO2'!$F$26*$B$61*IF($D$6*B42&gt;1,0,$D$6)</f>
        <v>0</v>
      </c>
      <c r="H42" s="207" t="e">
        <f aca="false">'Emissions CO2'!$F$36*IF(B42*$D$6&gt;1,1,B42*$D$6)*(D42*'Factors d''emissió'!$C$34+'Factors d''emissió'!$C$35*'Factors d''emissió'!$C$10+'Factors d''emissió'!$C$36*'Factors d''emissió'!$C$11+'Factors d''emissió'!$C$37*'Factors d''emissió'!$C$12)</f>
        <v>#N/A</v>
      </c>
      <c r="I42" s="207" t="e">
        <f aca="false">(('Emissions CO2'!$G$47*D42)+('Emissions CO2'!$G$48*D42))*IF(B42*$D$6&gt;1,1,B42*$D$6)</f>
        <v>#N/A</v>
      </c>
      <c r="J42" s="207" t="e">
        <f aca="false">'Emissions CO2'!$F$61*IF(B42*$D$6&gt;1,1,B42*$D$6)*(1-BF42)/'Factors d''emissió'!$D$73</f>
        <v>#N/A</v>
      </c>
      <c r="K42" s="207" t="e">
        <f aca="false">'Emissions CO2'!$F$37*D42*IF(B42*$D$6&gt;1,1,B42*$D$6)</f>
        <v>#N/A</v>
      </c>
      <c r="L42" s="207" t="e">
        <f aca="false">(('Emissions CO2'!$G$49*D42)+('Emissions CO2'!$G$50*D42))*IF(B42*$D$6&gt;1,1,B42*$D$6)</f>
        <v>#N/A</v>
      </c>
      <c r="M42" s="207" t="e">
        <f aca="false">'Emissions CO2'!$F$62*IF(B42*$D$6&gt;1,1,B42*$D$6)*(1-BF42)/'Factors d''emissió'!$D$73</f>
        <v>#N/A</v>
      </c>
      <c r="N42" s="207" t="e">
        <f aca="false">'Emissions CO2'!$F$38*D42*IF(B42*$D$6&gt;1,1,B42*$D$6)</f>
        <v>#N/A</v>
      </c>
      <c r="O42" s="207" t="e">
        <f aca="false">(('Emissions CO2'!$G$51*D42)+('Emissions CO2'!$G$52*D42))*IF(B42*$D$6&gt;1,1,B42*$D$6)</f>
        <v>#N/A</v>
      </c>
      <c r="P42" s="207" t="e">
        <f aca="false">'Emissions CO2'!$F$63*IF(B42*$D$6&gt;1,1,B42*$D$6)*(1-BF42)/'Factors d''emissió'!$D$73</f>
        <v>#N/A</v>
      </c>
      <c r="Q42" s="207" t="e">
        <f aca="false">'Emissions CO2'!$F$39*IF(B42*$D$6&gt;1,1,B42*$D$6)*(D42*'Factors d''emissió'!$C$41+'Factors d''emissió'!$C$10*'Factors d''emissió'!$C$42+'Factors d''emissió'!$C$11*'Factors d''emissió'!$C$43+'Factors d''emissió'!$C$12*'Factors d''emissió'!$C$44)</f>
        <v>#N/A</v>
      </c>
      <c r="R42" s="207" t="e">
        <f aca="false">(('Emissions CO2'!$G$53*D42)+('Emissions CO2'!$G$54*D42))*IF(B42*$D$6&gt;1,1,B42*$D$6)</f>
        <v>#N/A</v>
      </c>
      <c r="S42" s="207" t="e">
        <f aca="false">'Emissions CO2'!$F$64*IF(B42*$D$6&gt;1,1,B42*$D$6)*(1-BF42)/'Factors d''emissió'!$D$73</f>
        <v>#N/A</v>
      </c>
      <c r="T42" s="208" t="e">
        <f aca="false">'Emissions CO2'!$F$40*D42</f>
        <v>#N/A</v>
      </c>
      <c r="U42" s="207" t="e">
        <f aca="false">(('Fixació CO2'!$F$14+'Fixació CO2'!$F$15)*D42*(1-'Factors d''emissió'!$E$55))*IF(B42*$D$6&gt;1,1,B42*$D$6)</f>
        <v>#N/A</v>
      </c>
      <c r="V42" s="207" t="n">
        <f aca="false">(((Dades!$E$134-Dades!$E$133)*Dades!$E$130+(Dades!$F$134-Dades!$F$133)*Dades!$F$130+(Dades!$E$142-Dades!$E$141)*Dades!$E$138+(Dades!$F$142-Dades!$F$141)*Dades!$F$138)*1000/5)+'Fixació CO2'!$F$21+'Fixació CO2'!$F$26*IF(B42*$D$6&gt;1,1,B42*$D$6)+(Dades!$F$121*('Factors d''emissió'!$C$154+('Factors d''emissió'!$C$156-'Factors d''emissió'!$C$154)*IF(B42*$D$6&gt;1,1,B42*$D$6))/10)+'Fixació CO2'!$F$22*IF(B42*$D$6&gt;1,1,B42*$D$6)</f>
        <v>0</v>
      </c>
      <c r="W42" s="207" t="e">
        <f aca="false">('Fixació CO2'!$F$40+'Fixació CO2'!$F$41+('Fixació CO2'!$F$39+'Fixació CO2'!$F$47+'Fixació CO2'!$F$48+'Fixació CO2'!$F$49)*IF(B42*$D$6&gt;1,1,B42*$D$6))*D42</f>
        <v>#N/A</v>
      </c>
      <c r="X42" s="207" t="n">
        <f aca="false">SUM('Fixació CO2'!$F$55:$F$57)</f>
        <v>0</v>
      </c>
      <c r="Y42" s="207" t="e">
        <f aca="false">(SUM(E42:T42)-U42)/1000</f>
        <v>#N/A</v>
      </c>
      <c r="Z42" s="207" t="e">
        <f aca="false">(V42+W42+X42)/1000</f>
        <v>#N/A</v>
      </c>
      <c r="AA42" s="207" t="e">
        <f aca="false">Y42-Z42</f>
        <v>#N/A</v>
      </c>
      <c r="AB42" s="207" t="e">
        <f aca="false">AA42*1000/ABS(Dades!$F$7)</f>
        <v>#N/A</v>
      </c>
      <c r="AC42" s="207" t="e">
        <f aca="false">AB42*10</f>
        <v>#N/A</v>
      </c>
      <c r="AD42" s="209"/>
      <c r="AE42" s="210" t="n">
        <f aca="false">C42</f>
        <v>31</v>
      </c>
      <c r="AF42" s="207" t="e">
        <f aca="false">AF41+Y42</f>
        <v>#N/A</v>
      </c>
      <c r="AG42" s="207" t="e">
        <f aca="false">AG41+Z42</f>
        <v>#N/A</v>
      </c>
      <c r="AH42" s="207" t="e">
        <f aca="false">AF42-AG42</f>
        <v>#N/A</v>
      </c>
      <c r="AJ42" s="207" t="e">
        <f aca="false">(SUM(E42:T42)-U42-F42-G42)/1000</f>
        <v>#N/A</v>
      </c>
      <c r="AK42" s="207" t="e">
        <f aca="false">(V42+W42+X42)/1000</f>
        <v>#N/A</v>
      </c>
      <c r="AL42" s="211"/>
      <c r="AM42" s="207" t="e">
        <f aca="false">AJ42-AK42</f>
        <v>#N/A</v>
      </c>
      <c r="AN42" s="207" t="e">
        <f aca="false">AM42*1000/ABS(Dades!$F$7)</f>
        <v>#N/A</v>
      </c>
      <c r="AO42" s="207" t="e">
        <f aca="false">AN42*10</f>
        <v>#N/A</v>
      </c>
      <c r="AQ42" s="207" t="e">
        <f aca="false">AQ41+AJ42</f>
        <v>#N/A</v>
      </c>
      <c r="AR42" s="207" t="e">
        <f aca="false">AR41+AK42</f>
        <v>#N/A</v>
      </c>
      <c r="AS42" s="207" t="e">
        <f aca="false">AQ42-AR42</f>
        <v>#N/A</v>
      </c>
      <c r="AU42" s="210" t="n">
        <f aca="false">C42</f>
        <v>31</v>
      </c>
      <c r="AV42" s="212" t="n">
        <f aca="false">E42</f>
        <v>0</v>
      </c>
      <c r="AW42" s="212" t="e">
        <f aca="false">F42</f>
        <v>#N/A</v>
      </c>
      <c r="AX42" s="212" t="n">
        <f aca="false">G42</f>
        <v>0</v>
      </c>
      <c r="AY42" s="210" t="e">
        <f aca="false">H42+K42+N42+Q42+T42</f>
        <v>#N/A</v>
      </c>
      <c r="AZ42" s="210" t="e">
        <f aca="false">I42+L42+O42+R42-U42</f>
        <v>#N/A</v>
      </c>
      <c r="BA42" s="210" t="e">
        <f aca="false">J42+M42+P42+S42</f>
        <v>#N/A</v>
      </c>
      <c r="BF42" s="214" t="e">
        <f aca="false">VLOOKUP(C42-1,mix_electric,3,FALSE())</f>
        <v>#N/A</v>
      </c>
    </row>
    <row r="43" customFormat="false" ht="14.4" hidden="false" customHeight="false" outlineLevel="0" collapsed="false">
      <c r="B43" s="204" t="n">
        <v>32</v>
      </c>
      <c r="C43" s="205" t="n">
        <f aca="false">C42+1</f>
        <v>32</v>
      </c>
      <c r="D43" s="206" t="e">
        <f aca="false">VLOOKUP(C43-1,mix_electric,2,FALSE())</f>
        <v>#N/A</v>
      </c>
      <c r="E43" s="207" t="n">
        <f aca="false">'Emissions CO2'!$F$20</f>
        <v>0</v>
      </c>
      <c r="F43" s="207" t="e">
        <f aca="false">'Emissions CO2'!$F$22*IF(B43*$D$6&gt;1,1,B43*$D$6)*D43/'Factors d''emissió'!$C$7</f>
        <v>#N/A</v>
      </c>
      <c r="G43" s="207" t="n">
        <f aca="false">'Emissions CO2'!$F$26*$B$61*IF($D$6*B43&gt;1,0,$D$6)</f>
        <v>0</v>
      </c>
      <c r="H43" s="207" t="e">
        <f aca="false">'Emissions CO2'!$F$36*IF(B43*$D$6&gt;1,1,B43*$D$6)*(D43*'Factors d''emissió'!$C$34+'Factors d''emissió'!$C$35*'Factors d''emissió'!$C$10+'Factors d''emissió'!$C$36*'Factors d''emissió'!$C$11+'Factors d''emissió'!$C$37*'Factors d''emissió'!$C$12)</f>
        <v>#N/A</v>
      </c>
      <c r="I43" s="207" t="e">
        <f aca="false">(('Emissions CO2'!$G$47*D43)+('Emissions CO2'!$G$48*D43))*IF(B43*$D$6&gt;1,1,B43*$D$6)</f>
        <v>#N/A</v>
      </c>
      <c r="J43" s="207" t="e">
        <f aca="false">'Emissions CO2'!$F$61*IF(B43*$D$6&gt;1,1,B43*$D$6)*(1-BF43)/'Factors d''emissió'!$D$73</f>
        <v>#N/A</v>
      </c>
      <c r="K43" s="207" t="e">
        <f aca="false">'Emissions CO2'!$F$37*D43*IF(B43*$D$6&gt;1,1,B43*$D$6)</f>
        <v>#N/A</v>
      </c>
      <c r="L43" s="207" t="e">
        <f aca="false">(('Emissions CO2'!$G$49*D43)+('Emissions CO2'!$G$50*D43))*IF(B43*$D$6&gt;1,1,B43*$D$6)</f>
        <v>#N/A</v>
      </c>
      <c r="M43" s="207" t="e">
        <f aca="false">'Emissions CO2'!$F$62*IF(B43*$D$6&gt;1,1,B43*$D$6)*(1-BF43)/'Factors d''emissió'!$D$73</f>
        <v>#N/A</v>
      </c>
      <c r="N43" s="207" t="e">
        <f aca="false">'Emissions CO2'!$F$38*D43*IF(B43*$D$6&gt;1,1,B43*$D$6)</f>
        <v>#N/A</v>
      </c>
      <c r="O43" s="207" t="e">
        <f aca="false">(('Emissions CO2'!$G$51*D43)+('Emissions CO2'!$G$52*D43))*IF(B43*$D$6&gt;1,1,B43*$D$6)</f>
        <v>#N/A</v>
      </c>
      <c r="P43" s="207" t="e">
        <f aca="false">'Emissions CO2'!$F$63*IF(B43*$D$6&gt;1,1,B43*$D$6)*(1-BF43)/'Factors d''emissió'!$D$73</f>
        <v>#N/A</v>
      </c>
      <c r="Q43" s="207" t="e">
        <f aca="false">'Emissions CO2'!$F$39*IF(B43*$D$6&gt;1,1,B43*$D$6)*(D43*'Factors d''emissió'!$C$41+'Factors d''emissió'!$C$10*'Factors d''emissió'!$C$42+'Factors d''emissió'!$C$11*'Factors d''emissió'!$C$43+'Factors d''emissió'!$C$12*'Factors d''emissió'!$C$44)</f>
        <v>#N/A</v>
      </c>
      <c r="R43" s="207" t="e">
        <f aca="false">(('Emissions CO2'!$G$53*D43)+('Emissions CO2'!$G$54*D43))*IF(B43*$D$6&gt;1,1,B43*$D$6)</f>
        <v>#N/A</v>
      </c>
      <c r="S43" s="207" t="e">
        <f aca="false">'Emissions CO2'!$F$64*IF(B43*$D$6&gt;1,1,B43*$D$6)*(1-BF43)/'Factors d''emissió'!$D$73</f>
        <v>#N/A</v>
      </c>
      <c r="T43" s="208" t="e">
        <f aca="false">'Emissions CO2'!$F$40*D43</f>
        <v>#N/A</v>
      </c>
      <c r="U43" s="207" t="e">
        <f aca="false">(('Fixació CO2'!$F$14+'Fixació CO2'!$F$15)*D43*(1-'Factors d''emissió'!$E$55))*IF(B43*$D$6&gt;1,1,B43*$D$6)</f>
        <v>#N/A</v>
      </c>
      <c r="V43" s="207" t="n">
        <f aca="false">(((Dades!$E$134-Dades!$E$133)*Dades!$E$130+(Dades!$F$134-Dades!$F$133)*Dades!$F$130+(Dades!$E$142-Dades!$E$141)*Dades!$E$138+(Dades!$F$142-Dades!$F$141)*Dades!$F$138)*1000/5)+'Fixació CO2'!$F$21+'Fixació CO2'!$F$26*IF(B43*$D$6&gt;1,1,B43*$D$6)+(Dades!$F$121*('Factors d''emissió'!$C$154+('Factors d''emissió'!$C$156-'Factors d''emissió'!$C$154)*IF(B43*$D$6&gt;1,1,B43*$D$6))/10)+'Fixació CO2'!$F$22*IF(B43*$D$6&gt;1,1,B43*$D$6)</f>
        <v>0</v>
      </c>
      <c r="W43" s="207" t="e">
        <f aca="false">('Fixació CO2'!$F$40+'Fixació CO2'!$F$41+('Fixació CO2'!$F$39+'Fixació CO2'!$F$47+'Fixació CO2'!$F$48+'Fixació CO2'!$F$49)*IF(B43*$D$6&gt;1,1,B43*$D$6))*D43</f>
        <v>#N/A</v>
      </c>
      <c r="X43" s="207" t="n">
        <f aca="false">SUM('Fixació CO2'!$F$55:$F$57)</f>
        <v>0</v>
      </c>
      <c r="Y43" s="207" t="e">
        <f aca="false">(SUM(E43:T43)-U43)/1000</f>
        <v>#N/A</v>
      </c>
      <c r="Z43" s="207" t="e">
        <f aca="false">(V43+W43+X43)/1000</f>
        <v>#N/A</v>
      </c>
      <c r="AA43" s="207" t="e">
        <f aca="false">Y43-Z43</f>
        <v>#N/A</v>
      </c>
      <c r="AB43" s="207" t="e">
        <f aca="false">AA43*1000/ABS(Dades!$F$7)</f>
        <v>#N/A</v>
      </c>
      <c r="AC43" s="207" t="e">
        <f aca="false">AB43*10</f>
        <v>#N/A</v>
      </c>
      <c r="AD43" s="209"/>
      <c r="AE43" s="210" t="n">
        <f aca="false">C43</f>
        <v>32</v>
      </c>
      <c r="AF43" s="207" t="e">
        <f aca="false">AF42+Y43</f>
        <v>#N/A</v>
      </c>
      <c r="AG43" s="207" t="e">
        <f aca="false">AG42+Z43</f>
        <v>#N/A</v>
      </c>
      <c r="AH43" s="207" t="e">
        <f aca="false">AF43-AG43</f>
        <v>#N/A</v>
      </c>
      <c r="AJ43" s="207" t="e">
        <f aca="false">(SUM(E43:T43)-U43-F43-G43)/1000</f>
        <v>#N/A</v>
      </c>
      <c r="AK43" s="207" t="e">
        <f aca="false">(V43+W43+X43)/1000</f>
        <v>#N/A</v>
      </c>
      <c r="AL43" s="211"/>
      <c r="AM43" s="207" t="e">
        <f aca="false">AJ43-AK43</f>
        <v>#N/A</v>
      </c>
      <c r="AN43" s="207" t="e">
        <f aca="false">AM43*1000/ABS(Dades!$F$7)</f>
        <v>#N/A</v>
      </c>
      <c r="AO43" s="207" t="e">
        <f aca="false">AN43*10</f>
        <v>#N/A</v>
      </c>
      <c r="AQ43" s="207" t="e">
        <f aca="false">AQ42+AJ43</f>
        <v>#N/A</v>
      </c>
      <c r="AR43" s="207" t="e">
        <f aca="false">AR42+AK43</f>
        <v>#N/A</v>
      </c>
      <c r="AS43" s="207" t="e">
        <f aca="false">AQ43-AR43</f>
        <v>#N/A</v>
      </c>
      <c r="AU43" s="210" t="n">
        <f aca="false">C43</f>
        <v>32</v>
      </c>
      <c r="AV43" s="212" t="n">
        <f aca="false">E43</f>
        <v>0</v>
      </c>
      <c r="AW43" s="212" t="e">
        <f aca="false">F43</f>
        <v>#N/A</v>
      </c>
      <c r="AX43" s="212" t="n">
        <f aca="false">G43</f>
        <v>0</v>
      </c>
      <c r="AY43" s="210" t="e">
        <f aca="false">H43+K43+N43+Q43+T43</f>
        <v>#N/A</v>
      </c>
      <c r="AZ43" s="210" t="e">
        <f aca="false">I43+L43+O43+R43-U43</f>
        <v>#N/A</v>
      </c>
      <c r="BA43" s="210" t="e">
        <f aca="false">J43+M43+P43+S43</f>
        <v>#N/A</v>
      </c>
      <c r="BF43" s="214" t="e">
        <f aca="false">VLOOKUP(C43-1,mix_electric,3,FALSE())</f>
        <v>#N/A</v>
      </c>
    </row>
    <row r="44" customFormat="false" ht="14.4" hidden="false" customHeight="false" outlineLevel="0" collapsed="false">
      <c r="B44" s="204" t="n">
        <v>33</v>
      </c>
      <c r="C44" s="205" t="n">
        <f aca="false">C43+1</f>
        <v>33</v>
      </c>
      <c r="D44" s="206" t="e">
        <f aca="false">VLOOKUP(C44-1,mix_electric,2,FALSE())</f>
        <v>#N/A</v>
      </c>
      <c r="E44" s="207" t="n">
        <f aca="false">'Emissions CO2'!$F$20</f>
        <v>0</v>
      </c>
      <c r="F44" s="207" t="e">
        <f aca="false">'Emissions CO2'!$F$22*IF(B44*$D$6&gt;1,1,B44*$D$6)*D44/'Factors d''emissió'!$C$7</f>
        <v>#N/A</v>
      </c>
      <c r="G44" s="207" t="n">
        <f aca="false">'Emissions CO2'!$F$26*$B$61*IF($D$6*B44&gt;1,0,$D$6)</f>
        <v>0</v>
      </c>
      <c r="H44" s="207" t="e">
        <f aca="false">'Emissions CO2'!$F$36*IF(B44*$D$6&gt;1,1,B44*$D$6)*(D44*'Factors d''emissió'!$C$34+'Factors d''emissió'!$C$35*'Factors d''emissió'!$C$10+'Factors d''emissió'!$C$36*'Factors d''emissió'!$C$11+'Factors d''emissió'!$C$37*'Factors d''emissió'!$C$12)</f>
        <v>#N/A</v>
      </c>
      <c r="I44" s="207" t="e">
        <f aca="false">(('Emissions CO2'!$G$47*D44)+('Emissions CO2'!$G$48*D44))*IF(B44*$D$6&gt;1,1,B44*$D$6)</f>
        <v>#N/A</v>
      </c>
      <c r="J44" s="207" t="e">
        <f aca="false">'Emissions CO2'!$F$61*IF(B44*$D$6&gt;1,1,B44*$D$6)*(1-BF44)/'Factors d''emissió'!$D$73</f>
        <v>#N/A</v>
      </c>
      <c r="K44" s="207" t="e">
        <f aca="false">'Emissions CO2'!$F$37*D44*IF(B44*$D$6&gt;1,1,B44*$D$6)</f>
        <v>#N/A</v>
      </c>
      <c r="L44" s="207" t="e">
        <f aca="false">(('Emissions CO2'!$G$49*D44)+('Emissions CO2'!$G$50*D44))*IF(B44*$D$6&gt;1,1,B44*$D$6)</f>
        <v>#N/A</v>
      </c>
      <c r="M44" s="207" t="e">
        <f aca="false">'Emissions CO2'!$F$62*IF(B44*$D$6&gt;1,1,B44*$D$6)*(1-BF44)/'Factors d''emissió'!$D$73</f>
        <v>#N/A</v>
      </c>
      <c r="N44" s="207" t="e">
        <f aca="false">'Emissions CO2'!$F$38*D44*IF(B44*$D$6&gt;1,1,B44*$D$6)</f>
        <v>#N/A</v>
      </c>
      <c r="O44" s="207" t="e">
        <f aca="false">(('Emissions CO2'!$G$51*D44)+('Emissions CO2'!$G$52*D44))*IF(B44*$D$6&gt;1,1,B44*$D$6)</f>
        <v>#N/A</v>
      </c>
      <c r="P44" s="207" t="e">
        <f aca="false">'Emissions CO2'!$F$63*IF(B44*$D$6&gt;1,1,B44*$D$6)*(1-BF44)/'Factors d''emissió'!$D$73</f>
        <v>#N/A</v>
      </c>
      <c r="Q44" s="207" t="e">
        <f aca="false">'Emissions CO2'!$F$39*IF(B44*$D$6&gt;1,1,B44*$D$6)*(D44*'Factors d''emissió'!$C$41+'Factors d''emissió'!$C$10*'Factors d''emissió'!$C$42+'Factors d''emissió'!$C$11*'Factors d''emissió'!$C$43+'Factors d''emissió'!$C$12*'Factors d''emissió'!$C$44)</f>
        <v>#N/A</v>
      </c>
      <c r="R44" s="207" t="e">
        <f aca="false">(('Emissions CO2'!$G$53*D44)+('Emissions CO2'!$G$54*D44))*IF(B44*$D$6&gt;1,1,B44*$D$6)</f>
        <v>#N/A</v>
      </c>
      <c r="S44" s="207" t="e">
        <f aca="false">'Emissions CO2'!$F$64*IF(B44*$D$6&gt;1,1,B44*$D$6)*(1-BF44)/'Factors d''emissió'!$D$73</f>
        <v>#N/A</v>
      </c>
      <c r="T44" s="208" t="e">
        <f aca="false">'Emissions CO2'!$F$40*D44</f>
        <v>#N/A</v>
      </c>
      <c r="U44" s="207" t="e">
        <f aca="false">(('Fixació CO2'!$F$14+'Fixació CO2'!$F$15)*D44*(1-'Factors d''emissió'!$E$55))*IF(B44*$D$6&gt;1,1,B44*$D$6)</f>
        <v>#N/A</v>
      </c>
      <c r="V44" s="207" t="n">
        <f aca="false">(((Dades!$E$134-Dades!$E$133)*Dades!$E$130+(Dades!$F$134-Dades!$F$133)*Dades!$F$130+(Dades!$E$142-Dades!$E$141)*Dades!$E$138+(Dades!$F$142-Dades!$F$141)*Dades!$F$138)*1000/5)+'Fixació CO2'!$F$21+'Fixació CO2'!$F$26*IF(B44*$D$6&gt;1,1,B44*$D$6)+(Dades!$F$121*('Factors d''emissió'!$C$154+('Factors d''emissió'!$C$156-'Factors d''emissió'!$C$154)*IF(B44*$D$6&gt;1,1,B44*$D$6))/10)+'Fixació CO2'!$F$22*IF(B44*$D$6&gt;1,1,B44*$D$6)</f>
        <v>0</v>
      </c>
      <c r="W44" s="207" t="e">
        <f aca="false">('Fixació CO2'!$F$40+'Fixació CO2'!$F$41+('Fixació CO2'!$F$39+'Fixació CO2'!$F$47+'Fixació CO2'!$F$48+'Fixació CO2'!$F$49)*IF(B44*$D$6&gt;1,1,B44*$D$6))*D44</f>
        <v>#N/A</v>
      </c>
      <c r="X44" s="207" t="n">
        <f aca="false">SUM('Fixació CO2'!$F$55:$F$57)</f>
        <v>0</v>
      </c>
      <c r="Y44" s="207" t="e">
        <f aca="false">(SUM(E44:T44)-U44)/1000</f>
        <v>#N/A</v>
      </c>
      <c r="Z44" s="207" t="e">
        <f aca="false">(V44+W44+X44)/1000</f>
        <v>#N/A</v>
      </c>
      <c r="AA44" s="207" t="e">
        <f aca="false">Y44-Z44</f>
        <v>#N/A</v>
      </c>
      <c r="AB44" s="207" t="e">
        <f aca="false">AA44*1000/ABS(Dades!$F$7)</f>
        <v>#N/A</v>
      </c>
      <c r="AC44" s="207" t="e">
        <f aca="false">AB44*10</f>
        <v>#N/A</v>
      </c>
      <c r="AD44" s="209"/>
      <c r="AE44" s="210" t="n">
        <f aca="false">C44</f>
        <v>33</v>
      </c>
      <c r="AF44" s="207" t="e">
        <f aca="false">AF43+Y44</f>
        <v>#N/A</v>
      </c>
      <c r="AG44" s="207" t="e">
        <f aca="false">AG43+Z44</f>
        <v>#N/A</v>
      </c>
      <c r="AH44" s="207" t="e">
        <f aca="false">AF44-AG44</f>
        <v>#N/A</v>
      </c>
      <c r="AJ44" s="207" t="e">
        <f aca="false">(SUM(E44:T44)-U44-F44-G44)/1000</f>
        <v>#N/A</v>
      </c>
      <c r="AK44" s="207" t="e">
        <f aca="false">(V44+W44+X44)/1000</f>
        <v>#N/A</v>
      </c>
      <c r="AL44" s="211"/>
      <c r="AM44" s="207" t="e">
        <f aca="false">AJ44-AK44</f>
        <v>#N/A</v>
      </c>
      <c r="AN44" s="207" t="e">
        <f aca="false">AM44*1000/ABS(Dades!$F$7)</f>
        <v>#N/A</v>
      </c>
      <c r="AO44" s="207" t="e">
        <f aca="false">AN44*10</f>
        <v>#N/A</v>
      </c>
      <c r="AQ44" s="207" t="e">
        <f aca="false">AQ43+AJ44</f>
        <v>#N/A</v>
      </c>
      <c r="AR44" s="207" t="e">
        <f aca="false">AR43+AK44</f>
        <v>#N/A</v>
      </c>
      <c r="AS44" s="207" t="e">
        <f aca="false">AQ44-AR44</f>
        <v>#N/A</v>
      </c>
      <c r="AU44" s="210" t="n">
        <f aca="false">C44</f>
        <v>33</v>
      </c>
      <c r="AV44" s="212" t="n">
        <f aca="false">E44</f>
        <v>0</v>
      </c>
      <c r="AW44" s="212" t="e">
        <f aca="false">F44</f>
        <v>#N/A</v>
      </c>
      <c r="AX44" s="212" t="n">
        <f aca="false">G44</f>
        <v>0</v>
      </c>
      <c r="AY44" s="210" t="e">
        <f aca="false">H44+K44+N44+Q44+T44</f>
        <v>#N/A</v>
      </c>
      <c r="AZ44" s="210" t="e">
        <f aca="false">I44+L44+O44+R44-U44</f>
        <v>#N/A</v>
      </c>
      <c r="BA44" s="210" t="e">
        <f aca="false">J44+M44+P44+S44</f>
        <v>#N/A</v>
      </c>
      <c r="BF44" s="214" t="e">
        <f aca="false">VLOOKUP(C44-1,mix_electric,3,FALSE())</f>
        <v>#N/A</v>
      </c>
    </row>
    <row r="45" customFormat="false" ht="14.4" hidden="false" customHeight="false" outlineLevel="0" collapsed="false">
      <c r="B45" s="204" t="n">
        <v>34</v>
      </c>
      <c r="C45" s="205" t="n">
        <f aca="false">C44+1</f>
        <v>34</v>
      </c>
      <c r="D45" s="206" t="e">
        <f aca="false">VLOOKUP(C45-1,mix_electric,2,FALSE())</f>
        <v>#N/A</v>
      </c>
      <c r="E45" s="207" t="n">
        <f aca="false">'Emissions CO2'!$F$20</f>
        <v>0</v>
      </c>
      <c r="F45" s="207" t="e">
        <f aca="false">'Emissions CO2'!$F$22*IF(B45*$D$6&gt;1,1,B45*$D$6)*D45/'Factors d''emissió'!$C$7</f>
        <v>#N/A</v>
      </c>
      <c r="G45" s="207" t="n">
        <f aca="false">'Emissions CO2'!$F$26*$B$61*IF($D$6*B45&gt;1,0,$D$6)</f>
        <v>0</v>
      </c>
      <c r="H45" s="207" t="e">
        <f aca="false">'Emissions CO2'!$F$36*IF(B45*$D$6&gt;1,1,B45*$D$6)*(D45*'Factors d''emissió'!$C$34+'Factors d''emissió'!$C$35*'Factors d''emissió'!$C$10+'Factors d''emissió'!$C$36*'Factors d''emissió'!$C$11+'Factors d''emissió'!$C$37*'Factors d''emissió'!$C$12)</f>
        <v>#N/A</v>
      </c>
      <c r="I45" s="207" t="e">
        <f aca="false">(('Emissions CO2'!$G$47*D45)+('Emissions CO2'!$G$48*D45))*IF(B45*$D$6&gt;1,1,B45*$D$6)</f>
        <v>#N/A</v>
      </c>
      <c r="J45" s="207" t="e">
        <f aca="false">'Emissions CO2'!$F$61*IF(B45*$D$6&gt;1,1,B45*$D$6)*(1-BF45)/'Factors d''emissió'!$D$73</f>
        <v>#N/A</v>
      </c>
      <c r="K45" s="207" t="e">
        <f aca="false">'Emissions CO2'!$F$37*D45*IF(B45*$D$6&gt;1,1,B45*$D$6)</f>
        <v>#N/A</v>
      </c>
      <c r="L45" s="207" t="e">
        <f aca="false">(('Emissions CO2'!$G$49*D45)+('Emissions CO2'!$G$50*D45))*IF(B45*$D$6&gt;1,1,B45*$D$6)</f>
        <v>#N/A</v>
      </c>
      <c r="M45" s="207" t="e">
        <f aca="false">'Emissions CO2'!$F$62*IF(B45*$D$6&gt;1,1,B45*$D$6)*(1-BF45)/'Factors d''emissió'!$D$73</f>
        <v>#N/A</v>
      </c>
      <c r="N45" s="207" t="e">
        <f aca="false">'Emissions CO2'!$F$38*D45*IF(B45*$D$6&gt;1,1,B45*$D$6)</f>
        <v>#N/A</v>
      </c>
      <c r="O45" s="207" t="e">
        <f aca="false">(('Emissions CO2'!$G$51*D45)+('Emissions CO2'!$G$52*D45))*IF(B45*$D$6&gt;1,1,B45*$D$6)</f>
        <v>#N/A</v>
      </c>
      <c r="P45" s="207" t="e">
        <f aca="false">'Emissions CO2'!$F$63*IF(B45*$D$6&gt;1,1,B45*$D$6)*(1-BF45)/'Factors d''emissió'!$D$73</f>
        <v>#N/A</v>
      </c>
      <c r="Q45" s="207" t="e">
        <f aca="false">'Emissions CO2'!$F$39*IF(B45*$D$6&gt;1,1,B45*$D$6)*(D45*'Factors d''emissió'!$C$41+'Factors d''emissió'!$C$10*'Factors d''emissió'!$C$42+'Factors d''emissió'!$C$11*'Factors d''emissió'!$C$43+'Factors d''emissió'!$C$12*'Factors d''emissió'!$C$44)</f>
        <v>#N/A</v>
      </c>
      <c r="R45" s="207" t="e">
        <f aca="false">(('Emissions CO2'!$G$53*D45)+('Emissions CO2'!$G$54*D45))*IF(B45*$D$6&gt;1,1,B45*$D$6)</f>
        <v>#N/A</v>
      </c>
      <c r="S45" s="207" t="e">
        <f aca="false">'Emissions CO2'!$F$64*IF(B45*$D$6&gt;1,1,B45*$D$6)*(1-BF45)/'Factors d''emissió'!$D$73</f>
        <v>#N/A</v>
      </c>
      <c r="T45" s="208" t="e">
        <f aca="false">'Emissions CO2'!$F$40*D45</f>
        <v>#N/A</v>
      </c>
      <c r="U45" s="207" t="e">
        <f aca="false">(('Fixació CO2'!$F$14+'Fixació CO2'!$F$15)*D45*(1-'Factors d''emissió'!$E$55))*IF(B45*$D$6&gt;1,1,B45*$D$6)</f>
        <v>#N/A</v>
      </c>
      <c r="V45" s="207" t="n">
        <f aca="false">(((Dades!$E$134-Dades!$E$133)*Dades!$E$130+(Dades!$F$134-Dades!$F$133)*Dades!$F$130+(Dades!$E$142-Dades!$E$141)*Dades!$E$138+(Dades!$F$142-Dades!$F$141)*Dades!$F$138)*1000/5)+'Fixació CO2'!$F$21+'Fixació CO2'!$F$26*IF(B45*$D$6&gt;1,1,B45*$D$6)+(Dades!$F$121*('Factors d''emissió'!$C$154+('Factors d''emissió'!$C$156-'Factors d''emissió'!$C$154)*IF(B45*$D$6&gt;1,1,B45*$D$6))/10)+'Fixació CO2'!$F$22*IF(B45*$D$6&gt;1,1,B45*$D$6)</f>
        <v>0</v>
      </c>
      <c r="W45" s="207" t="e">
        <f aca="false">('Fixació CO2'!$F$40+'Fixació CO2'!$F$41+('Fixació CO2'!$F$39+'Fixació CO2'!$F$47+'Fixació CO2'!$F$48+'Fixació CO2'!$F$49)*IF(B45*$D$6&gt;1,1,B45*$D$6))*D45</f>
        <v>#N/A</v>
      </c>
      <c r="X45" s="207" t="n">
        <f aca="false">SUM('Fixació CO2'!$F$55:$F$57)</f>
        <v>0</v>
      </c>
      <c r="Y45" s="207" t="e">
        <f aca="false">(SUM(E45:T45)-U45)/1000</f>
        <v>#N/A</v>
      </c>
      <c r="Z45" s="207" t="e">
        <f aca="false">(V45+W45+X45)/1000</f>
        <v>#N/A</v>
      </c>
      <c r="AA45" s="207" t="e">
        <f aca="false">Y45-Z45</f>
        <v>#N/A</v>
      </c>
      <c r="AB45" s="207" t="e">
        <f aca="false">AA45*1000/ABS(Dades!$F$7)</f>
        <v>#N/A</v>
      </c>
      <c r="AC45" s="207" t="e">
        <f aca="false">AB45*10</f>
        <v>#N/A</v>
      </c>
      <c r="AD45" s="209"/>
      <c r="AE45" s="210" t="n">
        <f aca="false">C45</f>
        <v>34</v>
      </c>
      <c r="AF45" s="207" t="e">
        <f aca="false">AF44+Y45</f>
        <v>#N/A</v>
      </c>
      <c r="AG45" s="207" t="e">
        <f aca="false">AG44+Z45</f>
        <v>#N/A</v>
      </c>
      <c r="AH45" s="207" t="e">
        <f aca="false">AF45-AG45</f>
        <v>#N/A</v>
      </c>
      <c r="AJ45" s="207" t="e">
        <f aca="false">(SUM(E45:T45)-U45-F45-G45)/1000</f>
        <v>#N/A</v>
      </c>
      <c r="AK45" s="207" t="e">
        <f aca="false">(V45+W45+X45)/1000</f>
        <v>#N/A</v>
      </c>
      <c r="AL45" s="211"/>
      <c r="AM45" s="207" t="e">
        <f aca="false">AJ45-AK45</f>
        <v>#N/A</v>
      </c>
      <c r="AN45" s="207" t="e">
        <f aca="false">AM45*1000/ABS(Dades!$F$7)</f>
        <v>#N/A</v>
      </c>
      <c r="AO45" s="207" t="e">
        <f aca="false">AN45*10</f>
        <v>#N/A</v>
      </c>
      <c r="AQ45" s="207" t="e">
        <f aca="false">AQ44+AJ45</f>
        <v>#N/A</v>
      </c>
      <c r="AR45" s="207" t="e">
        <f aca="false">AR44+AK45</f>
        <v>#N/A</v>
      </c>
      <c r="AS45" s="207" t="e">
        <f aca="false">AQ45-AR45</f>
        <v>#N/A</v>
      </c>
      <c r="AU45" s="210" t="n">
        <f aca="false">C45</f>
        <v>34</v>
      </c>
      <c r="AV45" s="212" t="n">
        <f aca="false">E45</f>
        <v>0</v>
      </c>
      <c r="AW45" s="212" t="e">
        <f aca="false">F45</f>
        <v>#N/A</v>
      </c>
      <c r="AX45" s="212" t="n">
        <f aca="false">G45</f>
        <v>0</v>
      </c>
      <c r="AY45" s="210" t="e">
        <f aca="false">H45+K45+N45+Q45+T45</f>
        <v>#N/A</v>
      </c>
      <c r="AZ45" s="210" t="e">
        <f aca="false">I45+L45+O45+R45-U45</f>
        <v>#N/A</v>
      </c>
      <c r="BA45" s="210" t="e">
        <f aca="false">J45+M45+P45+S45</f>
        <v>#N/A</v>
      </c>
      <c r="BF45" s="214" t="e">
        <f aca="false">VLOOKUP(C45-1,mix_electric,3,FALSE())</f>
        <v>#N/A</v>
      </c>
    </row>
    <row r="46" customFormat="false" ht="14.4" hidden="false" customHeight="false" outlineLevel="0" collapsed="false">
      <c r="B46" s="204" t="n">
        <v>35</v>
      </c>
      <c r="C46" s="205" t="n">
        <f aca="false">C45+1</f>
        <v>35</v>
      </c>
      <c r="D46" s="206" t="e">
        <f aca="false">VLOOKUP(C46-1,mix_electric,2,FALSE())</f>
        <v>#N/A</v>
      </c>
      <c r="E46" s="207" t="n">
        <f aca="false">'Emissions CO2'!$F$20</f>
        <v>0</v>
      </c>
      <c r="F46" s="207" t="e">
        <f aca="false">'Emissions CO2'!$F$22*IF(B46*$D$6&gt;1,1,B46*$D$6)*D46/'Factors d''emissió'!$C$7</f>
        <v>#N/A</v>
      </c>
      <c r="G46" s="207" t="n">
        <f aca="false">'Emissions CO2'!$F$26*$B$61*IF($D$6*B46&gt;1,0,$D$6)</f>
        <v>0</v>
      </c>
      <c r="H46" s="207" t="e">
        <f aca="false">'Emissions CO2'!$F$36*IF(B46*$D$6&gt;1,1,B46*$D$6)*(D46*'Factors d''emissió'!$C$34+'Factors d''emissió'!$C$35*'Factors d''emissió'!$C$10+'Factors d''emissió'!$C$36*'Factors d''emissió'!$C$11+'Factors d''emissió'!$C$37*'Factors d''emissió'!$C$12)</f>
        <v>#N/A</v>
      </c>
      <c r="I46" s="207" t="e">
        <f aca="false">(('Emissions CO2'!$G$47*D46)+('Emissions CO2'!$G$48*D46))*IF(B46*$D$6&gt;1,1,B46*$D$6)</f>
        <v>#N/A</v>
      </c>
      <c r="J46" s="207" t="e">
        <f aca="false">'Emissions CO2'!$F$61*IF(B46*$D$6&gt;1,1,B46*$D$6)*(1-BF46)/'Factors d''emissió'!$D$73</f>
        <v>#N/A</v>
      </c>
      <c r="K46" s="207" t="e">
        <f aca="false">'Emissions CO2'!$F$37*D46*IF(B46*$D$6&gt;1,1,B46*$D$6)</f>
        <v>#N/A</v>
      </c>
      <c r="L46" s="207" t="e">
        <f aca="false">(('Emissions CO2'!$G$49*D46)+('Emissions CO2'!$G$50*D46))*IF(B46*$D$6&gt;1,1,B46*$D$6)</f>
        <v>#N/A</v>
      </c>
      <c r="M46" s="207" t="e">
        <f aca="false">'Emissions CO2'!$F$62*IF(B46*$D$6&gt;1,1,B46*$D$6)*(1-BF46)/'Factors d''emissió'!$D$73</f>
        <v>#N/A</v>
      </c>
      <c r="N46" s="207" t="e">
        <f aca="false">'Emissions CO2'!$F$38*D46*IF(B46*$D$6&gt;1,1,B46*$D$6)</f>
        <v>#N/A</v>
      </c>
      <c r="O46" s="207" t="e">
        <f aca="false">(('Emissions CO2'!$G$51*D46)+('Emissions CO2'!$G$52*D46))*IF(B46*$D$6&gt;1,1,B46*$D$6)</f>
        <v>#N/A</v>
      </c>
      <c r="P46" s="207" t="e">
        <f aca="false">'Emissions CO2'!$F$63*IF(B46*$D$6&gt;1,1,B46*$D$6)*(1-BF46)/'Factors d''emissió'!$D$73</f>
        <v>#N/A</v>
      </c>
      <c r="Q46" s="207" t="e">
        <f aca="false">'Emissions CO2'!$F$39*IF(B46*$D$6&gt;1,1,B46*$D$6)*(D46*'Factors d''emissió'!$C$41+'Factors d''emissió'!$C$10*'Factors d''emissió'!$C$42+'Factors d''emissió'!$C$11*'Factors d''emissió'!$C$43+'Factors d''emissió'!$C$12*'Factors d''emissió'!$C$44)</f>
        <v>#N/A</v>
      </c>
      <c r="R46" s="207" t="e">
        <f aca="false">(('Emissions CO2'!$G$53*D46)+('Emissions CO2'!$G$54*D46))*IF(B46*$D$6&gt;1,1,B46*$D$6)</f>
        <v>#N/A</v>
      </c>
      <c r="S46" s="207" t="e">
        <f aca="false">'Emissions CO2'!$F$64*IF(B46*$D$6&gt;1,1,B46*$D$6)*(1-BF46)/'Factors d''emissió'!$D$73</f>
        <v>#N/A</v>
      </c>
      <c r="T46" s="208" t="e">
        <f aca="false">'Emissions CO2'!$F$40*D46</f>
        <v>#N/A</v>
      </c>
      <c r="U46" s="207" t="e">
        <f aca="false">(('Fixació CO2'!$F$14+'Fixació CO2'!$F$15)*D46*(1-'Factors d''emissió'!$E$55))*IF(B46*$D$6&gt;1,1,B46*$D$6)</f>
        <v>#N/A</v>
      </c>
      <c r="V46" s="207" t="n">
        <f aca="false">(((Dades!$E$134-Dades!$E$133)*Dades!$E$130+(Dades!$F$134-Dades!$F$133)*Dades!$F$130+(Dades!$E$142-Dades!$E$141)*Dades!$E$138+(Dades!$F$142-Dades!$F$141)*Dades!$F$138)*1000/5)+'Fixació CO2'!$F$21+'Fixació CO2'!$F$26*IF(B46*$D$6&gt;1,1,B46*$D$6)+(Dades!$F$121*('Factors d''emissió'!$C$154+('Factors d''emissió'!$C$156-'Factors d''emissió'!$C$154)*IF(B46*$D$6&gt;1,1,B46*$D$6))/10)+'Fixació CO2'!$F$22*IF(B46*$D$6&gt;1,1,B46*$D$6)</f>
        <v>0</v>
      </c>
      <c r="W46" s="207" t="e">
        <f aca="false">('Fixació CO2'!$F$40+'Fixació CO2'!$F$41+('Fixació CO2'!$F$39+'Fixació CO2'!$F$47+'Fixació CO2'!$F$48+'Fixació CO2'!$F$49)*IF(B46*$D$6&gt;1,1,B46*$D$6))*D46</f>
        <v>#N/A</v>
      </c>
      <c r="X46" s="207" t="n">
        <f aca="false">SUM('Fixació CO2'!$F$55:$F$57)</f>
        <v>0</v>
      </c>
      <c r="Y46" s="207" t="e">
        <f aca="false">(SUM(E46:T46)-U46)/1000</f>
        <v>#N/A</v>
      </c>
      <c r="Z46" s="207" t="e">
        <f aca="false">(V46+W46+X46)/1000</f>
        <v>#N/A</v>
      </c>
      <c r="AA46" s="207" t="e">
        <f aca="false">Y46-Z46</f>
        <v>#N/A</v>
      </c>
      <c r="AB46" s="207" t="e">
        <f aca="false">AA46*1000/ABS(Dades!$F$7)</f>
        <v>#N/A</v>
      </c>
      <c r="AC46" s="207" t="e">
        <f aca="false">AB46*10</f>
        <v>#N/A</v>
      </c>
      <c r="AD46" s="209"/>
      <c r="AE46" s="210" t="n">
        <f aca="false">C46</f>
        <v>35</v>
      </c>
      <c r="AF46" s="207" t="e">
        <f aca="false">AF45+Y46</f>
        <v>#N/A</v>
      </c>
      <c r="AG46" s="207" t="e">
        <f aca="false">AG45+Z46</f>
        <v>#N/A</v>
      </c>
      <c r="AH46" s="207" t="e">
        <f aca="false">AF46-AG46</f>
        <v>#N/A</v>
      </c>
      <c r="AJ46" s="207" t="e">
        <f aca="false">(SUM(E46:T46)-U46-F46-G46)/1000</f>
        <v>#N/A</v>
      </c>
      <c r="AK46" s="207" t="e">
        <f aca="false">(V46+W46+X46)/1000</f>
        <v>#N/A</v>
      </c>
      <c r="AL46" s="211"/>
      <c r="AM46" s="207" t="e">
        <f aca="false">AJ46-AK46</f>
        <v>#N/A</v>
      </c>
      <c r="AN46" s="207" t="e">
        <f aca="false">AM46*1000/ABS(Dades!$F$7)</f>
        <v>#N/A</v>
      </c>
      <c r="AO46" s="207" t="e">
        <f aca="false">AN46*10</f>
        <v>#N/A</v>
      </c>
      <c r="AQ46" s="207" t="e">
        <f aca="false">AQ45+AJ46</f>
        <v>#N/A</v>
      </c>
      <c r="AR46" s="207" t="e">
        <f aca="false">AR45+AK46</f>
        <v>#N/A</v>
      </c>
      <c r="AS46" s="207" t="e">
        <f aca="false">AQ46-AR46</f>
        <v>#N/A</v>
      </c>
      <c r="AU46" s="210" t="n">
        <f aca="false">C46</f>
        <v>35</v>
      </c>
      <c r="AV46" s="212" t="n">
        <f aca="false">E46</f>
        <v>0</v>
      </c>
      <c r="AW46" s="212" t="e">
        <f aca="false">F46</f>
        <v>#N/A</v>
      </c>
      <c r="AX46" s="212" t="n">
        <f aca="false">G46</f>
        <v>0</v>
      </c>
      <c r="AY46" s="210" t="e">
        <f aca="false">H46+K46+N46+Q46+T46</f>
        <v>#N/A</v>
      </c>
      <c r="AZ46" s="210" t="e">
        <f aca="false">I46+L46+O46+R46-U46</f>
        <v>#N/A</v>
      </c>
      <c r="BA46" s="210" t="e">
        <f aca="false">J46+M46+P46+S46</f>
        <v>#N/A</v>
      </c>
      <c r="BF46" s="214" t="e">
        <f aca="false">VLOOKUP(C46-1,mix_electric,3,FALSE())</f>
        <v>#N/A</v>
      </c>
    </row>
    <row r="47" s="95" customFormat="true" ht="14.4" hidden="false" customHeight="false" outlineLevel="0" collapsed="false">
      <c r="B47" s="204" t="n">
        <v>36</v>
      </c>
      <c r="C47" s="205" t="n">
        <f aca="false">C46+1</f>
        <v>36</v>
      </c>
      <c r="D47" s="206" t="e">
        <f aca="false">VLOOKUP(C47-1,mix_electric,2,FALSE())</f>
        <v>#N/A</v>
      </c>
      <c r="E47" s="207" t="n">
        <f aca="false">'Emissions CO2'!$F$20</f>
        <v>0</v>
      </c>
      <c r="F47" s="207" t="e">
        <f aca="false">'Emissions CO2'!$F$22*IF(B47*$D$6&gt;1,1,B47*$D$6)*D47/'Factors d''emissió'!$C$7</f>
        <v>#N/A</v>
      </c>
      <c r="G47" s="207" t="n">
        <f aca="false">'Emissions CO2'!$F$26*$B$61*IF($D$6*B47&gt;1,0,$D$6)</f>
        <v>0</v>
      </c>
      <c r="H47" s="207" t="e">
        <f aca="false">'Emissions CO2'!$F$36*IF(B47*$D$6&gt;1,1,B47*$D$6)*(D47*'Factors d''emissió'!$C$34+'Factors d''emissió'!$C$35*'Factors d''emissió'!$C$10+'Factors d''emissió'!$C$36*'Factors d''emissió'!$C$11+'Factors d''emissió'!$C$37*'Factors d''emissió'!$C$12)</f>
        <v>#N/A</v>
      </c>
      <c r="I47" s="207" t="e">
        <f aca="false">(('Emissions CO2'!$G$47*D47)+('Emissions CO2'!$G$48*D47))*IF(B47*$D$6&gt;1,1,B47*$D$6)</f>
        <v>#N/A</v>
      </c>
      <c r="J47" s="207" t="e">
        <f aca="false">'Emissions CO2'!$F$61*IF(B47*$D$6&gt;1,1,B47*$D$6)*(1-BF47)/'Factors d''emissió'!$D$73</f>
        <v>#N/A</v>
      </c>
      <c r="K47" s="207" t="e">
        <f aca="false">'Emissions CO2'!$F$37*D47*IF(B47*$D$6&gt;1,1,B47*$D$6)</f>
        <v>#N/A</v>
      </c>
      <c r="L47" s="207" t="e">
        <f aca="false">(('Emissions CO2'!$G$49*D47)+('Emissions CO2'!$G$50*D47))*IF(B47*$D$6&gt;1,1,B47*$D$6)</f>
        <v>#N/A</v>
      </c>
      <c r="M47" s="207" t="e">
        <f aca="false">'Emissions CO2'!$F$62*IF(B47*$D$6&gt;1,1,B47*$D$6)*(1-BF47)/'Factors d''emissió'!$D$73</f>
        <v>#N/A</v>
      </c>
      <c r="N47" s="207" t="e">
        <f aca="false">'Emissions CO2'!$F$38*D47*IF(B47*$D$6&gt;1,1,B47*$D$6)</f>
        <v>#N/A</v>
      </c>
      <c r="O47" s="207" t="e">
        <f aca="false">(('Emissions CO2'!$G$51*D47)+('Emissions CO2'!$G$52*D47))*IF(B47*$D$6&gt;1,1,B47*$D$6)</f>
        <v>#N/A</v>
      </c>
      <c r="P47" s="207" t="e">
        <f aca="false">'Emissions CO2'!$F$63*IF(B47*$D$6&gt;1,1,B47*$D$6)*(1-BF47)/'Factors d''emissió'!$D$73</f>
        <v>#N/A</v>
      </c>
      <c r="Q47" s="207" t="e">
        <f aca="false">'Emissions CO2'!$F$39*IF(B47*$D$6&gt;1,1,B47*$D$6)*(D47*'Factors d''emissió'!$C$41+'Factors d''emissió'!$C$10*'Factors d''emissió'!$C$42+'Factors d''emissió'!$C$11*'Factors d''emissió'!$C$43+'Factors d''emissió'!$C$12*'Factors d''emissió'!$C$44)</f>
        <v>#N/A</v>
      </c>
      <c r="R47" s="207" t="e">
        <f aca="false">(('Emissions CO2'!$G$53*D47)+('Emissions CO2'!$G$54*D47))*IF(B47*$D$6&gt;1,1,B47*$D$6)</f>
        <v>#N/A</v>
      </c>
      <c r="S47" s="207" t="e">
        <f aca="false">'Emissions CO2'!$F$64*IF(B47*$D$6&gt;1,1,B47*$D$6)*(1-BF47)/'Factors d''emissió'!$D$73</f>
        <v>#N/A</v>
      </c>
      <c r="T47" s="208" t="e">
        <f aca="false">'Emissions CO2'!$F$40*D47</f>
        <v>#N/A</v>
      </c>
      <c r="U47" s="207" t="e">
        <f aca="false">(('Fixació CO2'!$F$14+'Fixació CO2'!$F$15)*D47*(1-'Factors d''emissió'!$E$55))*IF(B47*$D$6&gt;1,1,B47*$D$6)</f>
        <v>#N/A</v>
      </c>
      <c r="V47" s="207" t="n">
        <f aca="false">(((Dades!$E$135-Dades!$E$134)*Dades!$E$130+(Dades!$F$135-Dades!$F$134)*Dades!$F$130+(Dades!$E$143-Dades!$E$142)*Dades!$E$138+(Dades!$F$143-Dades!$F$142)*Dades!$F$138)*1000/5)+'Fixació CO2'!$F$21+'Fixació CO2'!$F$26*IF(B47*$D$6&gt;1,1,B47*$D$6)+(Dades!$F$121*('Factors d''emissió'!$C$154+('Factors d''emissió'!$C$156-'Factors d''emissió'!$C$154)*IF(B47*$D$6&gt;1,1,B47*$D$6))/10)+'Fixació CO2'!$F$22*IF(B47*$D$6&gt;1,1,B47*$D$6)</f>
        <v>0</v>
      </c>
      <c r="W47" s="207" t="e">
        <f aca="false">('Fixació CO2'!$F$40+'Fixació CO2'!$F$41+('Fixació CO2'!$F$39+'Fixació CO2'!$F$47+'Fixació CO2'!$F$48+'Fixació CO2'!$F$49)*IF(B47*$D$6&gt;1,1,B47*$D$6))*D47</f>
        <v>#N/A</v>
      </c>
      <c r="X47" s="207" t="n">
        <f aca="false">SUM('Fixació CO2'!$F$55:$F$57)</f>
        <v>0</v>
      </c>
      <c r="Y47" s="207" t="e">
        <f aca="false">(SUM(E47:T47)-U47)/1000</f>
        <v>#N/A</v>
      </c>
      <c r="Z47" s="207" t="e">
        <f aca="false">(V47+W47+X47)/1000</f>
        <v>#N/A</v>
      </c>
      <c r="AA47" s="207" t="e">
        <f aca="false">Y47-Z47</f>
        <v>#N/A</v>
      </c>
      <c r="AB47" s="207" t="e">
        <f aca="false">AA47*1000/ABS(Dades!$F$7)</f>
        <v>#N/A</v>
      </c>
      <c r="AC47" s="207" t="e">
        <f aca="false">AB47*10</f>
        <v>#N/A</v>
      </c>
      <c r="AD47" s="209"/>
      <c r="AE47" s="210" t="n">
        <f aca="false">C47</f>
        <v>36</v>
      </c>
      <c r="AF47" s="207" t="e">
        <f aca="false">AF46+Y47</f>
        <v>#N/A</v>
      </c>
      <c r="AG47" s="207" t="e">
        <f aca="false">AG46+Z47</f>
        <v>#N/A</v>
      </c>
      <c r="AH47" s="207" t="e">
        <f aca="false">AF47-AG47</f>
        <v>#N/A</v>
      </c>
      <c r="AJ47" s="207" t="e">
        <f aca="false">(SUM(E47:T47)-U47-F47-G47)/1000</f>
        <v>#N/A</v>
      </c>
      <c r="AK47" s="207" t="e">
        <f aca="false">(V47+W47+X47)/1000</f>
        <v>#N/A</v>
      </c>
      <c r="AL47" s="211"/>
      <c r="AM47" s="207" t="e">
        <f aca="false">AJ47-AK47</f>
        <v>#N/A</v>
      </c>
      <c r="AN47" s="207" t="e">
        <f aca="false">AM47*1000/ABS(Dades!$F$7)</f>
        <v>#N/A</v>
      </c>
      <c r="AO47" s="207" t="e">
        <f aca="false">AN47*10</f>
        <v>#N/A</v>
      </c>
      <c r="AQ47" s="207" t="e">
        <f aca="false">AQ46+AJ47</f>
        <v>#N/A</v>
      </c>
      <c r="AR47" s="207" t="e">
        <f aca="false">AR46+AK47</f>
        <v>#N/A</v>
      </c>
      <c r="AS47" s="207" t="e">
        <f aca="false">AQ47-AR47</f>
        <v>#N/A</v>
      </c>
      <c r="AU47" s="210" t="n">
        <f aca="false">C47</f>
        <v>36</v>
      </c>
      <c r="AV47" s="212" t="n">
        <f aca="false">E47</f>
        <v>0</v>
      </c>
      <c r="AW47" s="212" t="e">
        <f aca="false">F47</f>
        <v>#N/A</v>
      </c>
      <c r="AX47" s="212" t="n">
        <f aca="false">G47</f>
        <v>0</v>
      </c>
      <c r="AY47" s="210" t="e">
        <f aca="false">H47+K47+N47+Q47+T47</f>
        <v>#N/A</v>
      </c>
      <c r="AZ47" s="210" t="e">
        <f aca="false">I47+L47+O47+R47-U47</f>
        <v>#N/A</v>
      </c>
      <c r="BA47" s="210" t="e">
        <f aca="false">J47+M47+P47+S47</f>
        <v>#N/A</v>
      </c>
      <c r="BF47" s="214" t="e">
        <f aca="false">VLOOKUP(C47-1,mix_electric,3,FALSE())</f>
        <v>#N/A</v>
      </c>
    </row>
    <row r="48" customFormat="false" ht="14.4" hidden="false" customHeight="false" outlineLevel="0" collapsed="false">
      <c r="B48" s="204" t="n">
        <v>37</v>
      </c>
      <c r="C48" s="205" t="n">
        <f aca="false">C47+1</f>
        <v>37</v>
      </c>
      <c r="D48" s="206" t="e">
        <f aca="false">VLOOKUP(C48-1,mix_electric,2,FALSE())</f>
        <v>#N/A</v>
      </c>
      <c r="E48" s="207" t="n">
        <f aca="false">'Emissions CO2'!$F$20</f>
        <v>0</v>
      </c>
      <c r="F48" s="207" t="e">
        <f aca="false">'Emissions CO2'!$F$22*IF(B48*$D$6&gt;1,1,B48*$D$6)*D48/'Factors d''emissió'!$C$7</f>
        <v>#N/A</v>
      </c>
      <c r="G48" s="207" t="n">
        <f aca="false">'Emissions CO2'!$F$26*$B$61*IF($D$6*B48&gt;1,0,$D$6)</f>
        <v>0</v>
      </c>
      <c r="H48" s="207" t="e">
        <f aca="false">'Emissions CO2'!$F$36*IF(B48*$D$6&gt;1,1,B48*$D$6)*(D48*'Factors d''emissió'!$C$34+'Factors d''emissió'!$C$35*'Factors d''emissió'!$C$10+'Factors d''emissió'!$C$36*'Factors d''emissió'!$C$11+'Factors d''emissió'!$C$37*'Factors d''emissió'!$C$12)</f>
        <v>#N/A</v>
      </c>
      <c r="I48" s="207" t="e">
        <f aca="false">(('Emissions CO2'!$G$47*D48)+('Emissions CO2'!$G$48*D48))*IF(B48*$D$6&gt;1,1,B48*$D$6)</f>
        <v>#N/A</v>
      </c>
      <c r="J48" s="207" t="e">
        <f aca="false">'Emissions CO2'!$F$61*IF(B48*$D$6&gt;1,1,B48*$D$6)*(1-BF48)/'Factors d''emissió'!$D$73</f>
        <v>#N/A</v>
      </c>
      <c r="K48" s="207" t="e">
        <f aca="false">'Emissions CO2'!$F$37*D48*IF(B48*$D$6&gt;1,1,B48*$D$6)</f>
        <v>#N/A</v>
      </c>
      <c r="L48" s="207" t="e">
        <f aca="false">(('Emissions CO2'!$G$49*D48)+('Emissions CO2'!$G$50*D48))*IF(B48*$D$6&gt;1,1,B48*$D$6)</f>
        <v>#N/A</v>
      </c>
      <c r="M48" s="207" t="e">
        <f aca="false">'Emissions CO2'!$F$62*IF(B48*$D$6&gt;1,1,B48*$D$6)*(1-BF48)/'Factors d''emissió'!$D$73</f>
        <v>#N/A</v>
      </c>
      <c r="N48" s="207" t="e">
        <f aca="false">'Emissions CO2'!$F$38*D48*IF(B48*$D$6&gt;1,1,B48*$D$6)</f>
        <v>#N/A</v>
      </c>
      <c r="O48" s="207" t="e">
        <f aca="false">(('Emissions CO2'!$G$51*D48)+('Emissions CO2'!$G$52*D48))*IF(B48*$D$6&gt;1,1,B48*$D$6)</f>
        <v>#N/A</v>
      </c>
      <c r="P48" s="207" t="e">
        <f aca="false">'Emissions CO2'!$F$63*IF(B48*$D$6&gt;1,1,B48*$D$6)*(1-BF48)/'Factors d''emissió'!$D$73</f>
        <v>#N/A</v>
      </c>
      <c r="Q48" s="207" t="e">
        <f aca="false">'Emissions CO2'!$F$39*IF(B48*$D$6&gt;1,1,B48*$D$6)*(D48*'Factors d''emissió'!$C$41+'Factors d''emissió'!$C$10*'Factors d''emissió'!$C$42+'Factors d''emissió'!$C$11*'Factors d''emissió'!$C$43+'Factors d''emissió'!$C$12*'Factors d''emissió'!$C$44)</f>
        <v>#N/A</v>
      </c>
      <c r="R48" s="207" t="e">
        <f aca="false">(('Emissions CO2'!$G$53*D48)+('Emissions CO2'!$G$54*D48))*IF(B48*$D$6&gt;1,1,B48*$D$6)</f>
        <v>#N/A</v>
      </c>
      <c r="S48" s="207" t="e">
        <f aca="false">'Emissions CO2'!$F$64*IF(B48*$D$6&gt;1,1,B48*$D$6)*(1-BF48)/'Factors d''emissió'!$D$73</f>
        <v>#N/A</v>
      </c>
      <c r="T48" s="208" t="e">
        <f aca="false">'Emissions CO2'!$F$40*D48</f>
        <v>#N/A</v>
      </c>
      <c r="U48" s="207" t="e">
        <f aca="false">(('Fixació CO2'!$F$14+'Fixació CO2'!$F$15)*D48*(1-'Factors d''emissió'!$E$55))*IF(B48*$D$6&gt;1,1,B48*$D$6)</f>
        <v>#N/A</v>
      </c>
      <c r="V48" s="207" t="n">
        <f aca="false">(((Dades!$E$135-Dades!$E$134)*Dades!$E$130+(Dades!$F$135-Dades!$F$134)*Dades!$F$130+(Dades!$E$143-Dades!$E$142)*Dades!$E$138+(Dades!$F$143-Dades!$F$142)*Dades!$F$138)*1000/5)+'Fixació CO2'!$F$21+'Fixació CO2'!$F$26*IF(B48*$D$6&gt;1,1,B48*$D$6)+(Dades!$F$121*('Factors d''emissió'!$C$154+('Factors d''emissió'!$C$156-'Factors d''emissió'!$C$154)*IF(B48*$D$6&gt;1,1,B48*$D$6))/10)+'Fixació CO2'!$F$22*IF(B48*$D$6&gt;1,1,B48*$D$6)</f>
        <v>0</v>
      </c>
      <c r="W48" s="207" t="e">
        <f aca="false">('Fixació CO2'!$F$40+'Fixació CO2'!$F$41+('Fixació CO2'!$F$39+'Fixació CO2'!$F$47+'Fixació CO2'!$F$48+'Fixació CO2'!$F$49)*IF(B48*$D$6&gt;1,1,B48*$D$6))*D48</f>
        <v>#N/A</v>
      </c>
      <c r="X48" s="207" t="n">
        <f aca="false">SUM('Fixació CO2'!$F$55:$F$57)</f>
        <v>0</v>
      </c>
      <c r="Y48" s="207" t="e">
        <f aca="false">(SUM(E48:T48)-U48)/1000</f>
        <v>#N/A</v>
      </c>
      <c r="Z48" s="207" t="e">
        <f aca="false">(V48+W48+X48)/1000</f>
        <v>#N/A</v>
      </c>
      <c r="AA48" s="207" t="e">
        <f aca="false">Y48-Z48</f>
        <v>#N/A</v>
      </c>
      <c r="AB48" s="207" t="e">
        <f aca="false">AA48*1000/ABS(Dades!$F$7)</f>
        <v>#N/A</v>
      </c>
      <c r="AC48" s="207" t="e">
        <f aca="false">AB48*10</f>
        <v>#N/A</v>
      </c>
      <c r="AD48" s="209"/>
      <c r="AE48" s="210" t="n">
        <f aca="false">C48</f>
        <v>37</v>
      </c>
      <c r="AF48" s="207" t="e">
        <f aca="false">AF47+Y48</f>
        <v>#N/A</v>
      </c>
      <c r="AG48" s="207" t="e">
        <f aca="false">AG47+Z48</f>
        <v>#N/A</v>
      </c>
      <c r="AH48" s="207" t="e">
        <f aca="false">AF48-AG48</f>
        <v>#N/A</v>
      </c>
      <c r="AJ48" s="207" t="e">
        <f aca="false">(SUM(E48:T48)-U48-F48-G48)/1000</f>
        <v>#N/A</v>
      </c>
      <c r="AK48" s="207" t="e">
        <f aca="false">(V48+W48+X48)/1000</f>
        <v>#N/A</v>
      </c>
      <c r="AL48" s="211"/>
      <c r="AM48" s="207" t="e">
        <f aca="false">AJ48-AK48</f>
        <v>#N/A</v>
      </c>
      <c r="AN48" s="207" t="e">
        <f aca="false">AM48*1000/ABS(Dades!$F$7)</f>
        <v>#N/A</v>
      </c>
      <c r="AO48" s="207" t="e">
        <f aca="false">AN48*10</f>
        <v>#N/A</v>
      </c>
      <c r="AQ48" s="207" t="e">
        <f aca="false">AQ47+AJ48</f>
        <v>#N/A</v>
      </c>
      <c r="AR48" s="207" t="e">
        <f aca="false">AR47+AK48</f>
        <v>#N/A</v>
      </c>
      <c r="AS48" s="207" t="e">
        <f aca="false">AQ48-AR48</f>
        <v>#N/A</v>
      </c>
      <c r="AU48" s="210" t="n">
        <f aca="false">C48</f>
        <v>37</v>
      </c>
      <c r="AV48" s="212" t="n">
        <f aca="false">E48</f>
        <v>0</v>
      </c>
      <c r="AW48" s="212" t="e">
        <f aca="false">F48</f>
        <v>#N/A</v>
      </c>
      <c r="AX48" s="212" t="n">
        <f aca="false">G48</f>
        <v>0</v>
      </c>
      <c r="AY48" s="210" t="e">
        <f aca="false">H48+K48+N48+Q48+T48</f>
        <v>#N/A</v>
      </c>
      <c r="AZ48" s="210" t="e">
        <f aca="false">I48+L48+O48+R48-U48</f>
        <v>#N/A</v>
      </c>
      <c r="BA48" s="210" t="e">
        <f aca="false">J48+M48+P48+S48</f>
        <v>#N/A</v>
      </c>
      <c r="BF48" s="214" t="e">
        <f aca="false">VLOOKUP(C48-1,mix_electric,3,FALSE())</f>
        <v>#N/A</v>
      </c>
    </row>
    <row r="49" customFormat="false" ht="14.4" hidden="false" customHeight="false" outlineLevel="0" collapsed="false">
      <c r="B49" s="204" t="n">
        <v>38</v>
      </c>
      <c r="C49" s="205" t="n">
        <f aca="false">C48+1</f>
        <v>38</v>
      </c>
      <c r="D49" s="206" t="e">
        <f aca="false">VLOOKUP(C49-1,mix_electric,2,FALSE())</f>
        <v>#N/A</v>
      </c>
      <c r="E49" s="207" t="n">
        <f aca="false">'Emissions CO2'!$F$20</f>
        <v>0</v>
      </c>
      <c r="F49" s="207" t="e">
        <f aca="false">'Emissions CO2'!$F$22*IF(B49*$D$6&gt;1,1,B49*$D$6)*D49/'Factors d''emissió'!$C$7</f>
        <v>#N/A</v>
      </c>
      <c r="G49" s="207" t="n">
        <f aca="false">'Emissions CO2'!$F$26*$B$61*IF($D$6*B49&gt;1,0,$D$6)</f>
        <v>0</v>
      </c>
      <c r="H49" s="207" t="e">
        <f aca="false">'Emissions CO2'!$F$36*IF(B49*$D$6&gt;1,1,B49*$D$6)*(D49*'Factors d''emissió'!$C$34+'Factors d''emissió'!$C$35*'Factors d''emissió'!$C$10+'Factors d''emissió'!$C$36*'Factors d''emissió'!$C$11+'Factors d''emissió'!$C$37*'Factors d''emissió'!$C$12)</f>
        <v>#N/A</v>
      </c>
      <c r="I49" s="207" t="e">
        <f aca="false">(('Emissions CO2'!$G$47*D49)+('Emissions CO2'!$G$48*D49))*IF(B49*$D$6&gt;1,1,B49*$D$6)</f>
        <v>#N/A</v>
      </c>
      <c r="J49" s="207" t="e">
        <f aca="false">'Emissions CO2'!$F$61*IF(B49*$D$6&gt;1,1,B49*$D$6)*(1-BF49)/'Factors d''emissió'!$D$73</f>
        <v>#N/A</v>
      </c>
      <c r="K49" s="207" t="e">
        <f aca="false">'Emissions CO2'!$F$37*D49*IF(B49*$D$6&gt;1,1,B49*$D$6)</f>
        <v>#N/A</v>
      </c>
      <c r="L49" s="207" t="e">
        <f aca="false">(('Emissions CO2'!$G$49*D49)+('Emissions CO2'!$G$50*D49))*IF(B49*$D$6&gt;1,1,B49*$D$6)</f>
        <v>#N/A</v>
      </c>
      <c r="M49" s="207" t="e">
        <f aca="false">'Emissions CO2'!$F$62*IF(B49*$D$6&gt;1,1,B49*$D$6)*(1-BF49)/'Factors d''emissió'!$D$73</f>
        <v>#N/A</v>
      </c>
      <c r="N49" s="207" t="e">
        <f aca="false">'Emissions CO2'!$F$38*D49*IF(B49*$D$6&gt;1,1,B49*$D$6)</f>
        <v>#N/A</v>
      </c>
      <c r="O49" s="207" t="e">
        <f aca="false">(('Emissions CO2'!$G$51*D49)+('Emissions CO2'!$G$52*D49))*IF(B49*$D$6&gt;1,1,B49*$D$6)</f>
        <v>#N/A</v>
      </c>
      <c r="P49" s="207" t="e">
        <f aca="false">'Emissions CO2'!$F$63*IF(B49*$D$6&gt;1,1,B49*$D$6)*(1-BF49)/'Factors d''emissió'!$D$73</f>
        <v>#N/A</v>
      </c>
      <c r="Q49" s="207" t="e">
        <f aca="false">'Emissions CO2'!$F$39*IF(B49*$D$6&gt;1,1,B49*$D$6)*(D49*'Factors d''emissió'!$C$41+'Factors d''emissió'!$C$10*'Factors d''emissió'!$C$42+'Factors d''emissió'!$C$11*'Factors d''emissió'!$C$43+'Factors d''emissió'!$C$12*'Factors d''emissió'!$C$44)</f>
        <v>#N/A</v>
      </c>
      <c r="R49" s="207" t="e">
        <f aca="false">(('Emissions CO2'!$G$53*D49)+('Emissions CO2'!$G$54*D49))*IF(B49*$D$6&gt;1,1,B49*$D$6)</f>
        <v>#N/A</v>
      </c>
      <c r="S49" s="207" t="e">
        <f aca="false">'Emissions CO2'!$F$64*IF(B49*$D$6&gt;1,1,B49*$D$6)*(1-BF49)/'Factors d''emissió'!$D$73</f>
        <v>#N/A</v>
      </c>
      <c r="T49" s="208" t="e">
        <f aca="false">'Emissions CO2'!$F$40*D49</f>
        <v>#N/A</v>
      </c>
      <c r="U49" s="207" t="e">
        <f aca="false">(('Fixació CO2'!$F$14+'Fixació CO2'!$F$15)*D49*(1-'Factors d''emissió'!$E$55))*IF(B49*$D$6&gt;1,1,B49*$D$6)</f>
        <v>#N/A</v>
      </c>
      <c r="V49" s="207" t="n">
        <f aca="false">(((Dades!$E$135-Dades!$E$134)*Dades!$E$130+(Dades!$F$135-Dades!$F$134)*Dades!$F$130+(Dades!$E$143-Dades!$E$142)*Dades!$E$138+(Dades!$F$143-Dades!$F$142)*Dades!$F$138)*1000/5)+'Fixació CO2'!$F$21+'Fixació CO2'!$F$26*IF(B49*$D$6&gt;1,1,B49*$D$6)+(Dades!$F$121*('Factors d''emissió'!$C$154+('Factors d''emissió'!$C$156-'Factors d''emissió'!$C$154)*IF(B49*$D$6&gt;1,1,B49*$D$6))/10)+'Fixació CO2'!$F$22*IF(B49*$D$6&gt;1,1,B49*$D$6)</f>
        <v>0</v>
      </c>
      <c r="W49" s="207" t="e">
        <f aca="false">('Fixació CO2'!$F$40+'Fixació CO2'!$F$41+('Fixació CO2'!$F$39+'Fixació CO2'!$F$47+'Fixació CO2'!$F$48+'Fixació CO2'!$F$49)*IF(B49*$D$6&gt;1,1,B49*$D$6))*D49</f>
        <v>#N/A</v>
      </c>
      <c r="X49" s="207" t="n">
        <f aca="false">SUM('Fixació CO2'!$F$55:$F$57)</f>
        <v>0</v>
      </c>
      <c r="Y49" s="207" t="e">
        <f aca="false">(SUM(E49:T49)-U49)/1000</f>
        <v>#N/A</v>
      </c>
      <c r="Z49" s="207" t="e">
        <f aca="false">(V49+W49+X49)/1000</f>
        <v>#N/A</v>
      </c>
      <c r="AA49" s="207" t="e">
        <f aca="false">Y49-Z49</f>
        <v>#N/A</v>
      </c>
      <c r="AB49" s="207" t="e">
        <f aca="false">AA49*1000/ABS(Dades!$F$7)</f>
        <v>#N/A</v>
      </c>
      <c r="AC49" s="207" t="e">
        <f aca="false">AB49*10</f>
        <v>#N/A</v>
      </c>
      <c r="AD49" s="209"/>
      <c r="AE49" s="210" t="n">
        <f aca="false">C49</f>
        <v>38</v>
      </c>
      <c r="AF49" s="207" t="e">
        <f aca="false">AF48+Y49</f>
        <v>#N/A</v>
      </c>
      <c r="AG49" s="207" t="e">
        <f aca="false">AG48+Z49</f>
        <v>#N/A</v>
      </c>
      <c r="AH49" s="207" t="e">
        <f aca="false">AF49-AG49</f>
        <v>#N/A</v>
      </c>
      <c r="AJ49" s="207" t="e">
        <f aca="false">(SUM(E49:T49)-U49-F49-G49)/1000</f>
        <v>#N/A</v>
      </c>
      <c r="AK49" s="207" t="e">
        <f aca="false">(V49+W49+X49)/1000</f>
        <v>#N/A</v>
      </c>
      <c r="AL49" s="211"/>
      <c r="AM49" s="207" t="e">
        <f aca="false">AJ49-AK49</f>
        <v>#N/A</v>
      </c>
      <c r="AN49" s="207" t="e">
        <f aca="false">AM49*1000/ABS(Dades!$F$7)</f>
        <v>#N/A</v>
      </c>
      <c r="AO49" s="207" t="e">
        <f aca="false">AN49*10</f>
        <v>#N/A</v>
      </c>
      <c r="AQ49" s="207" t="e">
        <f aca="false">AQ48+AJ49</f>
        <v>#N/A</v>
      </c>
      <c r="AR49" s="207" t="e">
        <f aca="false">AR48+AK49</f>
        <v>#N/A</v>
      </c>
      <c r="AS49" s="207" t="e">
        <f aca="false">AQ49-AR49</f>
        <v>#N/A</v>
      </c>
      <c r="AU49" s="210" t="n">
        <f aca="false">C49</f>
        <v>38</v>
      </c>
      <c r="AV49" s="212" t="n">
        <f aca="false">E49</f>
        <v>0</v>
      </c>
      <c r="AW49" s="212" t="e">
        <f aca="false">F49</f>
        <v>#N/A</v>
      </c>
      <c r="AX49" s="212" t="n">
        <f aca="false">G49</f>
        <v>0</v>
      </c>
      <c r="AY49" s="210" t="e">
        <f aca="false">H49+K49+N49+Q49+T49</f>
        <v>#N/A</v>
      </c>
      <c r="AZ49" s="210" t="e">
        <f aca="false">I49+L49+O49+R49-U49</f>
        <v>#N/A</v>
      </c>
      <c r="BA49" s="210" t="e">
        <f aca="false">J49+M49+P49+S49</f>
        <v>#N/A</v>
      </c>
      <c r="BF49" s="214" t="e">
        <f aca="false">VLOOKUP(C49-1,mix_electric,3,FALSE())</f>
        <v>#N/A</v>
      </c>
    </row>
    <row r="50" customFormat="false" ht="14.4" hidden="false" customHeight="false" outlineLevel="0" collapsed="false">
      <c r="B50" s="204" t="n">
        <v>39</v>
      </c>
      <c r="C50" s="205" t="n">
        <f aca="false">C49+1</f>
        <v>39</v>
      </c>
      <c r="D50" s="206" t="e">
        <f aca="false">VLOOKUP(C50-1,mix_electric,2,FALSE())</f>
        <v>#N/A</v>
      </c>
      <c r="E50" s="207" t="n">
        <f aca="false">'Emissions CO2'!$F$20</f>
        <v>0</v>
      </c>
      <c r="F50" s="207" t="e">
        <f aca="false">'Emissions CO2'!$F$22*IF(B50*$D$6&gt;1,1,B50*$D$6)*D50/'Factors d''emissió'!$C$7</f>
        <v>#N/A</v>
      </c>
      <c r="G50" s="207" t="n">
        <f aca="false">'Emissions CO2'!$F$26*$B$61*IF($D$6*B50&gt;1,0,$D$6)</f>
        <v>0</v>
      </c>
      <c r="H50" s="207" t="e">
        <f aca="false">'Emissions CO2'!$F$36*IF(B50*$D$6&gt;1,1,B50*$D$6)*(D50*'Factors d''emissió'!$C$34+'Factors d''emissió'!$C$35*'Factors d''emissió'!$C$10+'Factors d''emissió'!$C$36*'Factors d''emissió'!$C$11+'Factors d''emissió'!$C$37*'Factors d''emissió'!$C$12)</f>
        <v>#N/A</v>
      </c>
      <c r="I50" s="207" t="e">
        <f aca="false">(('Emissions CO2'!$G$47*D50)+('Emissions CO2'!$G$48*D50))*IF(B50*$D$6&gt;1,1,B50*$D$6)</f>
        <v>#N/A</v>
      </c>
      <c r="J50" s="207" t="e">
        <f aca="false">'Emissions CO2'!$F$61*IF(B50*$D$6&gt;1,1,B50*$D$6)*(1-BF50)/'Factors d''emissió'!$D$73</f>
        <v>#N/A</v>
      </c>
      <c r="K50" s="207" t="e">
        <f aca="false">'Emissions CO2'!$F$37*D50*IF(B50*$D$6&gt;1,1,B50*$D$6)</f>
        <v>#N/A</v>
      </c>
      <c r="L50" s="207" t="e">
        <f aca="false">(('Emissions CO2'!$G$49*D50)+('Emissions CO2'!$G$50*D50))*IF(B50*$D$6&gt;1,1,B50*$D$6)</f>
        <v>#N/A</v>
      </c>
      <c r="M50" s="207" t="e">
        <f aca="false">'Emissions CO2'!$F$62*IF(B50*$D$6&gt;1,1,B50*$D$6)*(1-BF50)/'Factors d''emissió'!$D$73</f>
        <v>#N/A</v>
      </c>
      <c r="N50" s="207" t="e">
        <f aca="false">'Emissions CO2'!$F$38*D50*IF(B50*$D$6&gt;1,1,B50*$D$6)</f>
        <v>#N/A</v>
      </c>
      <c r="O50" s="207" t="e">
        <f aca="false">(('Emissions CO2'!$G$51*D50)+('Emissions CO2'!$G$52*D50))*IF(B50*$D$6&gt;1,1,B50*$D$6)</f>
        <v>#N/A</v>
      </c>
      <c r="P50" s="207" t="e">
        <f aca="false">'Emissions CO2'!$F$63*IF(B50*$D$6&gt;1,1,B50*$D$6)*(1-BF50)/'Factors d''emissió'!$D$73</f>
        <v>#N/A</v>
      </c>
      <c r="Q50" s="207" t="e">
        <f aca="false">'Emissions CO2'!$F$39*IF(B50*$D$6&gt;1,1,B50*$D$6)*(D50*'Factors d''emissió'!$C$41+'Factors d''emissió'!$C$10*'Factors d''emissió'!$C$42+'Factors d''emissió'!$C$11*'Factors d''emissió'!$C$43+'Factors d''emissió'!$C$12*'Factors d''emissió'!$C$44)</f>
        <v>#N/A</v>
      </c>
      <c r="R50" s="207" t="e">
        <f aca="false">(('Emissions CO2'!$G$53*D50)+('Emissions CO2'!$G$54*D50))*IF(B50*$D$6&gt;1,1,B50*$D$6)</f>
        <v>#N/A</v>
      </c>
      <c r="S50" s="207" t="e">
        <f aca="false">'Emissions CO2'!$F$64*IF(B50*$D$6&gt;1,1,B50*$D$6)*(1-BF50)/'Factors d''emissió'!$D$73</f>
        <v>#N/A</v>
      </c>
      <c r="T50" s="208" t="e">
        <f aca="false">'Emissions CO2'!$F$40*D50</f>
        <v>#N/A</v>
      </c>
      <c r="U50" s="207" t="e">
        <f aca="false">(('Fixació CO2'!$F$14+'Fixació CO2'!$F$15)*D50*(1-'Factors d''emissió'!$E$55))*IF(B50*$D$6&gt;1,1,B50*$D$6)</f>
        <v>#N/A</v>
      </c>
      <c r="V50" s="207" t="n">
        <f aca="false">(((Dades!$E$135-Dades!$E$134)*Dades!$E$130+(Dades!$F$135-Dades!$F$134)*Dades!$F$130+(Dades!$E$143-Dades!$E$142)*Dades!$E$138+(Dades!$F$143-Dades!$F$142)*Dades!$F$138)*1000/5)+'Fixació CO2'!$F$21+'Fixació CO2'!$F$26*IF(B50*$D$6&gt;1,1,B50*$D$6)+(Dades!$F$121*('Factors d''emissió'!$C$154+('Factors d''emissió'!$C$156-'Factors d''emissió'!$C$154)*IF(B50*$D$6&gt;1,1,B50*$D$6))/10)+'Fixació CO2'!$F$22*IF(B50*$D$6&gt;1,1,B50*$D$6)</f>
        <v>0</v>
      </c>
      <c r="W50" s="207" t="e">
        <f aca="false">('Fixació CO2'!$F$40+'Fixació CO2'!$F$41+('Fixació CO2'!$F$39+'Fixació CO2'!$F$47+'Fixació CO2'!$F$48+'Fixació CO2'!$F$49)*IF(B50*$D$6&gt;1,1,B50*$D$6))*D50</f>
        <v>#N/A</v>
      </c>
      <c r="X50" s="207" t="n">
        <f aca="false">SUM('Fixació CO2'!$F$55:$F$57)</f>
        <v>0</v>
      </c>
      <c r="Y50" s="207" t="e">
        <f aca="false">(SUM(E50:T50)-U50)/1000</f>
        <v>#N/A</v>
      </c>
      <c r="Z50" s="207" t="e">
        <f aca="false">(V50+W50+X50)/1000</f>
        <v>#N/A</v>
      </c>
      <c r="AA50" s="207" t="e">
        <f aca="false">Y50-Z50</f>
        <v>#N/A</v>
      </c>
      <c r="AB50" s="207" t="e">
        <f aca="false">AA50*1000/ABS(Dades!$F$7)</f>
        <v>#N/A</v>
      </c>
      <c r="AC50" s="207" t="e">
        <f aca="false">AB50*10</f>
        <v>#N/A</v>
      </c>
      <c r="AD50" s="209"/>
      <c r="AE50" s="210" t="n">
        <f aca="false">C50</f>
        <v>39</v>
      </c>
      <c r="AF50" s="207" t="e">
        <f aca="false">AF49+Y50</f>
        <v>#N/A</v>
      </c>
      <c r="AG50" s="207" t="e">
        <f aca="false">AG49+Z50</f>
        <v>#N/A</v>
      </c>
      <c r="AH50" s="207" t="e">
        <f aca="false">AF50-AG50</f>
        <v>#N/A</v>
      </c>
      <c r="AJ50" s="207" t="e">
        <f aca="false">(SUM(E50:T50)-U50-F50-G50)/1000</f>
        <v>#N/A</v>
      </c>
      <c r="AK50" s="207" t="e">
        <f aca="false">(V50+W50+X50)/1000</f>
        <v>#N/A</v>
      </c>
      <c r="AL50" s="211"/>
      <c r="AM50" s="207" t="e">
        <f aca="false">AJ50-AK50</f>
        <v>#N/A</v>
      </c>
      <c r="AN50" s="207" t="e">
        <f aca="false">AM50*1000/ABS(Dades!$F$7)</f>
        <v>#N/A</v>
      </c>
      <c r="AO50" s="207" t="e">
        <f aca="false">AN50*10</f>
        <v>#N/A</v>
      </c>
      <c r="AQ50" s="207" t="e">
        <f aca="false">AQ49+AJ50</f>
        <v>#N/A</v>
      </c>
      <c r="AR50" s="207" t="e">
        <f aca="false">AR49+AK50</f>
        <v>#N/A</v>
      </c>
      <c r="AS50" s="207" t="e">
        <f aca="false">AQ50-AR50</f>
        <v>#N/A</v>
      </c>
      <c r="AU50" s="210" t="n">
        <f aca="false">C50</f>
        <v>39</v>
      </c>
      <c r="AV50" s="212" t="n">
        <f aca="false">E50</f>
        <v>0</v>
      </c>
      <c r="AW50" s="212" t="e">
        <f aca="false">F50</f>
        <v>#N/A</v>
      </c>
      <c r="AX50" s="212" t="n">
        <f aca="false">G50</f>
        <v>0</v>
      </c>
      <c r="AY50" s="210" t="e">
        <f aca="false">H50+K50+N50+Q50+T50</f>
        <v>#N/A</v>
      </c>
      <c r="AZ50" s="210" t="e">
        <f aca="false">I50+L50+O50+R50-U50</f>
        <v>#N/A</v>
      </c>
      <c r="BA50" s="210" t="e">
        <f aca="false">J50+M50+P50+S50</f>
        <v>#N/A</v>
      </c>
      <c r="BF50" s="214" t="e">
        <f aca="false">VLOOKUP(C50-1,mix_electric,3,FALSE())</f>
        <v>#N/A</v>
      </c>
    </row>
    <row r="51" customFormat="false" ht="14.4" hidden="false" customHeight="false" outlineLevel="0" collapsed="false">
      <c r="B51" s="204" t="n">
        <v>40</v>
      </c>
      <c r="C51" s="205" t="n">
        <f aca="false">C50+1</f>
        <v>40</v>
      </c>
      <c r="D51" s="206" t="e">
        <f aca="false">VLOOKUP(C51-1,mix_electric,2,FALSE())</f>
        <v>#N/A</v>
      </c>
      <c r="E51" s="207" t="n">
        <f aca="false">'Emissions CO2'!$F$20</f>
        <v>0</v>
      </c>
      <c r="F51" s="207" t="e">
        <f aca="false">'Emissions CO2'!$F$22*IF(B51*$D$6&gt;1,1,B51*$D$6)*D51/'Factors d''emissió'!$C$7</f>
        <v>#N/A</v>
      </c>
      <c r="G51" s="207" t="n">
        <f aca="false">'Emissions CO2'!$F$26*$B$61*IF($D$6*B51&gt;1,0,$D$6)</f>
        <v>0</v>
      </c>
      <c r="H51" s="207" t="e">
        <f aca="false">'Emissions CO2'!$F$36*IF(B51*$D$6&gt;1,1,B51*$D$6)*(D51*'Factors d''emissió'!$C$34+'Factors d''emissió'!$C$35*'Factors d''emissió'!$C$10+'Factors d''emissió'!$C$36*'Factors d''emissió'!$C$11+'Factors d''emissió'!$C$37*'Factors d''emissió'!$C$12)</f>
        <v>#N/A</v>
      </c>
      <c r="I51" s="207" t="e">
        <f aca="false">(('Emissions CO2'!$G$47*D51)+('Emissions CO2'!$G$48*D51))*IF(B51*$D$6&gt;1,1,B51*$D$6)</f>
        <v>#N/A</v>
      </c>
      <c r="J51" s="207" t="e">
        <f aca="false">'Emissions CO2'!$F$61*IF(B51*$D$6&gt;1,1,B51*$D$6)*(1-BF51)/'Factors d''emissió'!$D$73</f>
        <v>#N/A</v>
      </c>
      <c r="K51" s="207" t="e">
        <f aca="false">'Emissions CO2'!$F$37*D51*IF(B51*$D$6&gt;1,1,B51*$D$6)</f>
        <v>#N/A</v>
      </c>
      <c r="L51" s="207" t="e">
        <f aca="false">(('Emissions CO2'!$G$49*D51)+('Emissions CO2'!$G$50*D51))*IF(B51*$D$6&gt;1,1,B51*$D$6)</f>
        <v>#N/A</v>
      </c>
      <c r="M51" s="207" t="e">
        <f aca="false">'Emissions CO2'!$F$62*IF(B51*$D$6&gt;1,1,B51*$D$6)*(1-BF51)/'Factors d''emissió'!$D$73</f>
        <v>#N/A</v>
      </c>
      <c r="N51" s="207" t="e">
        <f aca="false">'Emissions CO2'!$F$38*D51*IF(B51*$D$6&gt;1,1,B51*$D$6)</f>
        <v>#N/A</v>
      </c>
      <c r="O51" s="207" t="e">
        <f aca="false">(('Emissions CO2'!$G$51*D51)+('Emissions CO2'!$G$52*D51))*IF(B51*$D$6&gt;1,1,B51*$D$6)</f>
        <v>#N/A</v>
      </c>
      <c r="P51" s="207" t="e">
        <f aca="false">'Emissions CO2'!$F$63*IF(B51*$D$6&gt;1,1,B51*$D$6)*(1-BF51)/'Factors d''emissió'!$D$73</f>
        <v>#N/A</v>
      </c>
      <c r="Q51" s="207" t="e">
        <f aca="false">'Emissions CO2'!$F$39*IF(B51*$D$6&gt;1,1,B51*$D$6)*(D51*'Factors d''emissió'!$C$41+'Factors d''emissió'!$C$10*'Factors d''emissió'!$C$42+'Factors d''emissió'!$C$11*'Factors d''emissió'!$C$43+'Factors d''emissió'!$C$12*'Factors d''emissió'!$C$44)</f>
        <v>#N/A</v>
      </c>
      <c r="R51" s="207" t="e">
        <f aca="false">(('Emissions CO2'!$G$53*D51)+('Emissions CO2'!$G$54*D51))*IF(B51*$D$6&gt;1,1,B51*$D$6)</f>
        <v>#N/A</v>
      </c>
      <c r="S51" s="207" t="e">
        <f aca="false">'Emissions CO2'!$F$64*IF(B51*$D$6&gt;1,1,B51*$D$6)*(1-BF51)/'Factors d''emissió'!$D$73</f>
        <v>#N/A</v>
      </c>
      <c r="T51" s="208" t="e">
        <f aca="false">'Emissions CO2'!$F$40*D51</f>
        <v>#N/A</v>
      </c>
      <c r="U51" s="207" t="e">
        <f aca="false">(('Fixació CO2'!$F$14+'Fixació CO2'!$F$15)*D51*(1-'Factors d''emissió'!$E$55))*IF(B51*$D$6&gt;1,1,B51*$D$6)</f>
        <v>#N/A</v>
      </c>
      <c r="V51" s="207" t="n">
        <f aca="false">(((Dades!$E$135-Dades!$E$134)*Dades!$E$130+(Dades!$F$135-Dades!$F$134)*Dades!$F$130+(Dades!$E$143-Dades!$E$142)*Dades!$E$138+(Dades!$F$143-Dades!$F$142)*Dades!$F$138)*1000/5)+'Fixació CO2'!$F$21+'Fixació CO2'!$F$26*IF(B51*$D$6&gt;1,1,B51*$D$6)+(Dades!$F$121*('Factors d''emissió'!$C$154+('Factors d''emissió'!$C$156-'Factors d''emissió'!$C$154)*IF(B51*$D$6&gt;1,1,B51*$D$6))/10)+'Fixació CO2'!$F$22*IF(B51*$D$6&gt;1,1,B51*$D$6)</f>
        <v>0</v>
      </c>
      <c r="W51" s="207" t="e">
        <f aca="false">('Fixació CO2'!$F$40+'Fixació CO2'!$F$41+('Fixació CO2'!$F$39+'Fixació CO2'!$F$47+'Fixació CO2'!$F$48+'Fixació CO2'!$F$49)*IF(B51*$D$6&gt;1,1,B51*$D$6))*D51</f>
        <v>#N/A</v>
      </c>
      <c r="X51" s="207" t="n">
        <f aca="false">SUM('Fixació CO2'!$F$55:$F$57)</f>
        <v>0</v>
      </c>
      <c r="Y51" s="207" t="e">
        <f aca="false">(SUM(E51:T51)-U51)/1000</f>
        <v>#N/A</v>
      </c>
      <c r="Z51" s="207" t="e">
        <f aca="false">(V51+W51+X51)/1000</f>
        <v>#N/A</v>
      </c>
      <c r="AA51" s="207" t="e">
        <f aca="false">Y51-Z51</f>
        <v>#N/A</v>
      </c>
      <c r="AB51" s="207" t="e">
        <f aca="false">AA51*1000/ABS(Dades!$F$7)</f>
        <v>#N/A</v>
      </c>
      <c r="AC51" s="207" t="e">
        <f aca="false">AB51*10</f>
        <v>#N/A</v>
      </c>
      <c r="AD51" s="209"/>
      <c r="AE51" s="210" t="n">
        <f aca="false">C51</f>
        <v>40</v>
      </c>
      <c r="AF51" s="207" t="e">
        <f aca="false">AF50+Y51</f>
        <v>#N/A</v>
      </c>
      <c r="AG51" s="207" t="e">
        <f aca="false">AG50+Z51</f>
        <v>#N/A</v>
      </c>
      <c r="AH51" s="207" t="e">
        <f aca="false">AF51-AG51</f>
        <v>#N/A</v>
      </c>
      <c r="AJ51" s="207" t="e">
        <f aca="false">(SUM(E51:T51)-U51-F51-G51)/1000</f>
        <v>#N/A</v>
      </c>
      <c r="AK51" s="207" t="e">
        <f aca="false">(V51+W51+X51)/1000</f>
        <v>#N/A</v>
      </c>
      <c r="AL51" s="211"/>
      <c r="AM51" s="207" t="e">
        <f aca="false">AJ51-AK51</f>
        <v>#N/A</v>
      </c>
      <c r="AN51" s="207" t="e">
        <f aca="false">AM51*1000/ABS(Dades!$F$7)</f>
        <v>#N/A</v>
      </c>
      <c r="AO51" s="207" t="e">
        <f aca="false">AN51*10</f>
        <v>#N/A</v>
      </c>
      <c r="AQ51" s="207" t="e">
        <f aca="false">AQ50+AJ51</f>
        <v>#N/A</v>
      </c>
      <c r="AR51" s="207" t="e">
        <f aca="false">AR50+AK51</f>
        <v>#N/A</v>
      </c>
      <c r="AS51" s="207" t="e">
        <f aca="false">AQ51-AR51</f>
        <v>#N/A</v>
      </c>
      <c r="AU51" s="210" t="n">
        <f aca="false">C51</f>
        <v>40</v>
      </c>
      <c r="AV51" s="212" t="n">
        <f aca="false">E51</f>
        <v>0</v>
      </c>
      <c r="AW51" s="212" t="e">
        <f aca="false">F51</f>
        <v>#N/A</v>
      </c>
      <c r="AX51" s="212" t="n">
        <f aca="false">G51</f>
        <v>0</v>
      </c>
      <c r="AY51" s="210" t="e">
        <f aca="false">H51+K51+N51+Q51+T51</f>
        <v>#N/A</v>
      </c>
      <c r="AZ51" s="210" t="e">
        <f aca="false">I51+L51+O51+R51-U51</f>
        <v>#N/A</v>
      </c>
      <c r="BA51" s="210" t="e">
        <f aca="false">J51+M51+P51+S51</f>
        <v>#N/A</v>
      </c>
      <c r="BF51" s="214" t="e">
        <f aca="false">VLOOKUP(C51-1,mix_electric,3,FALSE())</f>
        <v>#N/A</v>
      </c>
    </row>
    <row r="52" customFormat="false" ht="14.4" hidden="false" customHeight="false" outlineLevel="0" collapsed="false">
      <c r="B52" s="204" t="n">
        <v>41</v>
      </c>
      <c r="C52" s="205" t="n">
        <f aca="false">C51+1</f>
        <v>41</v>
      </c>
      <c r="D52" s="206" t="e">
        <f aca="false">VLOOKUP(C52-1,mix_electric,2,FALSE())</f>
        <v>#N/A</v>
      </c>
      <c r="E52" s="207" t="n">
        <f aca="false">'Emissions CO2'!$F$20</f>
        <v>0</v>
      </c>
      <c r="F52" s="207" t="e">
        <f aca="false">'Emissions CO2'!$F$22*IF(B52*$D$6&gt;1,1,B52*$D$6)*D52/'Factors d''emissió'!$C$7</f>
        <v>#N/A</v>
      </c>
      <c r="G52" s="207" t="n">
        <f aca="false">'Emissions CO2'!$F$26*$B$61*IF($D$6*B52&gt;1,0,$D$6)</f>
        <v>0</v>
      </c>
      <c r="H52" s="207" t="e">
        <f aca="false">'Emissions CO2'!$F$36*IF(B52*$D$6&gt;1,1,B52*$D$6)*(D52*'Factors d''emissió'!$C$34+'Factors d''emissió'!$C$35*'Factors d''emissió'!$C$10+'Factors d''emissió'!$C$36*'Factors d''emissió'!$C$11+'Factors d''emissió'!$C$37*'Factors d''emissió'!$C$12)</f>
        <v>#N/A</v>
      </c>
      <c r="I52" s="207" t="e">
        <f aca="false">(('Emissions CO2'!$G$47*D52)+('Emissions CO2'!$G$48*D52))*IF(B52*$D$6&gt;1,1,B52*$D$6)</f>
        <v>#N/A</v>
      </c>
      <c r="J52" s="207" t="e">
        <f aca="false">'Emissions CO2'!$F$61*IF(B52*$D$6&gt;1,1,B52*$D$6)*(1-BF52)/'Factors d''emissió'!$D$73</f>
        <v>#N/A</v>
      </c>
      <c r="K52" s="207" t="e">
        <f aca="false">'Emissions CO2'!$F$37*D52*IF(B52*$D$6&gt;1,1,B52*$D$6)</f>
        <v>#N/A</v>
      </c>
      <c r="L52" s="207" t="e">
        <f aca="false">(('Emissions CO2'!$G$49*D52)+('Emissions CO2'!$G$50*D52))*IF(B52*$D$6&gt;1,1,B52*$D$6)</f>
        <v>#N/A</v>
      </c>
      <c r="M52" s="207" t="e">
        <f aca="false">'Emissions CO2'!$F$62*IF(B52*$D$6&gt;1,1,B52*$D$6)*(1-BF52)/'Factors d''emissió'!$D$73</f>
        <v>#N/A</v>
      </c>
      <c r="N52" s="207" t="e">
        <f aca="false">'Emissions CO2'!$F$38*D52*IF(B52*$D$6&gt;1,1,B52*$D$6)</f>
        <v>#N/A</v>
      </c>
      <c r="O52" s="207" t="e">
        <f aca="false">(('Emissions CO2'!$G$51*D52)+('Emissions CO2'!$G$52*D52))*IF(B52*$D$6&gt;1,1,B52*$D$6)</f>
        <v>#N/A</v>
      </c>
      <c r="P52" s="207" t="e">
        <f aca="false">'Emissions CO2'!$F$63*IF(B52*$D$6&gt;1,1,B52*$D$6)*(1-BF52)/'Factors d''emissió'!$D$73</f>
        <v>#N/A</v>
      </c>
      <c r="Q52" s="207" t="e">
        <f aca="false">'Emissions CO2'!$F$39*IF(B52*$D$6&gt;1,1,B52*$D$6)*(D52*'Factors d''emissió'!$C$41+'Factors d''emissió'!$C$10*'Factors d''emissió'!$C$42+'Factors d''emissió'!$C$11*'Factors d''emissió'!$C$43+'Factors d''emissió'!$C$12*'Factors d''emissió'!$C$44)</f>
        <v>#N/A</v>
      </c>
      <c r="R52" s="207" t="e">
        <f aca="false">(('Emissions CO2'!$G$53*D52)+('Emissions CO2'!$G$54*D52))*IF(B52*$D$6&gt;1,1,B52*$D$6)</f>
        <v>#N/A</v>
      </c>
      <c r="S52" s="207" t="e">
        <f aca="false">'Emissions CO2'!$F$64*IF(B52*$D$6&gt;1,1,B52*$D$6)*(1-BF52)/'Factors d''emissió'!$D$73</f>
        <v>#N/A</v>
      </c>
      <c r="T52" s="208" t="e">
        <f aca="false">'Emissions CO2'!$F$40*D52</f>
        <v>#N/A</v>
      </c>
      <c r="U52" s="207" t="e">
        <f aca="false">(('Fixació CO2'!$F$14+'Fixació CO2'!$F$15)*D52*(1-'Factors d''emissió'!$E$55))*IF(B52*$D$6&gt;1,1,B52*$D$6)</f>
        <v>#N/A</v>
      </c>
      <c r="V52" s="207" t="n">
        <f aca="false">(((Dades!$E$135-Dades!$E$134)*Dades!$E$130+(Dades!$F$135-Dades!$F$134)*Dades!$F$130+(Dades!$E$143-Dades!$E$142)*Dades!$E$138+(Dades!$F$143-Dades!$F$142)*Dades!$F$138)*1000/5)+'Fixació CO2'!$F$21+'Fixació CO2'!$F$26*IF(B52*$D$6&gt;1,1,B52*$D$6)+(Dades!$F$121*('Factors d''emissió'!$C$154+('Factors d''emissió'!$C$156-'Factors d''emissió'!$C$154)*IF(B52*$D$6&gt;1,1,B52*$D$6))/10)+'Fixació CO2'!$F$22*IF(B52*$D$6&gt;1,1,B52*$D$6)</f>
        <v>0</v>
      </c>
      <c r="W52" s="207" t="e">
        <f aca="false">('Fixació CO2'!$F$40+'Fixació CO2'!$F$41+('Fixació CO2'!$F$39+'Fixació CO2'!$F$47+'Fixació CO2'!$F$48+'Fixació CO2'!$F$49)*IF(B52*$D$6&gt;1,1,B52*$D$6))*D52</f>
        <v>#N/A</v>
      </c>
      <c r="X52" s="207" t="n">
        <f aca="false">SUM('Fixació CO2'!$F$55:$F$57)</f>
        <v>0</v>
      </c>
      <c r="Y52" s="207" t="e">
        <f aca="false">(SUM(E52:T52)-U52)/1000</f>
        <v>#N/A</v>
      </c>
      <c r="Z52" s="207" t="e">
        <f aca="false">(V52+W52+X52)/1000</f>
        <v>#N/A</v>
      </c>
      <c r="AA52" s="207" t="e">
        <f aca="false">Y52-Z52</f>
        <v>#N/A</v>
      </c>
      <c r="AB52" s="207" t="e">
        <f aca="false">AA52*1000/ABS(Dades!$F$7)</f>
        <v>#N/A</v>
      </c>
      <c r="AC52" s="207" t="e">
        <f aca="false">AB52*10</f>
        <v>#N/A</v>
      </c>
      <c r="AD52" s="209"/>
      <c r="AE52" s="210" t="n">
        <f aca="false">C52</f>
        <v>41</v>
      </c>
      <c r="AF52" s="207" t="e">
        <f aca="false">AF51+Y52</f>
        <v>#N/A</v>
      </c>
      <c r="AG52" s="207" t="e">
        <f aca="false">AG51+Z52</f>
        <v>#N/A</v>
      </c>
      <c r="AH52" s="207" t="e">
        <f aca="false">AF52-AG52</f>
        <v>#N/A</v>
      </c>
      <c r="AJ52" s="207" t="e">
        <f aca="false">(SUM(E52:T52)-U52-F52-G52)/1000</f>
        <v>#N/A</v>
      </c>
      <c r="AK52" s="207" t="e">
        <f aca="false">(V52+W52+X52)/1000</f>
        <v>#N/A</v>
      </c>
      <c r="AL52" s="211"/>
      <c r="AM52" s="207" t="e">
        <f aca="false">AJ52-AK52</f>
        <v>#N/A</v>
      </c>
      <c r="AN52" s="207" t="e">
        <f aca="false">AM52*1000/ABS(Dades!$F$7)</f>
        <v>#N/A</v>
      </c>
      <c r="AO52" s="207" t="e">
        <f aca="false">AN52*10</f>
        <v>#N/A</v>
      </c>
      <c r="AQ52" s="207" t="e">
        <f aca="false">AQ51+AJ52</f>
        <v>#N/A</v>
      </c>
      <c r="AR52" s="207" t="e">
        <f aca="false">AR51+AK52</f>
        <v>#N/A</v>
      </c>
      <c r="AS52" s="207" t="e">
        <f aca="false">AQ52-AR52</f>
        <v>#N/A</v>
      </c>
      <c r="AU52" s="210" t="n">
        <f aca="false">C52</f>
        <v>41</v>
      </c>
      <c r="AV52" s="212" t="n">
        <f aca="false">E52</f>
        <v>0</v>
      </c>
      <c r="AW52" s="212" t="e">
        <f aca="false">F52</f>
        <v>#N/A</v>
      </c>
      <c r="AX52" s="212" t="n">
        <f aca="false">G52</f>
        <v>0</v>
      </c>
      <c r="AY52" s="210" t="e">
        <f aca="false">H52+K52+N52+Q52+T52</f>
        <v>#N/A</v>
      </c>
      <c r="AZ52" s="210" t="e">
        <f aca="false">I52+L52+O52+R52-U52</f>
        <v>#N/A</v>
      </c>
      <c r="BA52" s="210" t="e">
        <f aca="false">J52+M52+P52+S52</f>
        <v>#N/A</v>
      </c>
      <c r="BF52" s="214" t="e">
        <f aca="false">VLOOKUP(C52-1,mix_electric,3,FALSE())</f>
        <v>#N/A</v>
      </c>
    </row>
    <row r="53" customFormat="false" ht="14.4" hidden="false" customHeight="false" outlineLevel="0" collapsed="false">
      <c r="B53" s="204" t="n">
        <v>42</v>
      </c>
      <c r="C53" s="205" t="n">
        <f aca="false">C52+1</f>
        <v>42</v>
      </c>
      <c r="D53" s="206" t="e">
        <f aca="false">VLOOKUP(C53-1,mix_electric,2,FALSE())</f>
        <v>#N/A</v>
      </c>
      <c r="E53" s="207" t="n">
        <f aca="false">'Emissions CO2'!$F$20</f>
        <v>0</v>
      </c>
      <c r="F53" s="207" t="e">
        <f aca="false">'Emissions CO2'!$F$22*IF(B53*$D$6&gt;1,1,B53*$D$6)*D53/'Factors d''emissió'!$C$7</f>
        <v>#N/A</v>
      </c>
      <c r="G53" s="207" t="n">
        <f aca="false">'Emissions CO2'!$F$26*$B$61*IF($D$6*B53&gt;1,0,$D$6)</f>
        <v>0</v>
      </c>
      <c r="H53" s="207" t="e">
        <f aca="false">'Emissions CO2'!$F$36*IF(B53*$D$6&gt;1,1,B53*$D$6)*(D53*'Factors d''emissió'!$C$34+'Factors d''emissió'!$C$35*'Factors d''emissió'!$C$10+'Factors d''emissió'!$C$36*'Factors d''emissió'!$C$11+'Factors d''emissió'!$C$37*'Factors d''emissió'!$C$12)</f>
        <v>#N/A</v>
      </c>
      <c r="I53" s="207" t="e">
        <f aca="false">(('Emissions CO2'!$G$47*D53)+('Emissions CO2'!$G$48*D53))*IF(B53*$D$6&gt;1,1,B53*$D$6)</f>
        <v>#N/A</v>
      </c>
      <c r="J53" s="207" t="e">
        <f aca="false">'Emissions CO2'!$F$61*IF(B53*$D$6&gt;1,1,B53*$D$6)*(1-BF53)/'Factors d''emissió'!$D$73</f>
        <v>#N/A</v>
      </c>
      <c r="K53" s="207" t="e">
        <f aca="false">'Emissions CO2'!$F$37*D53*IF(B53*$D$6&gt;1,1,B53*$D$6)</f>
        <v>#N/A</v>
      </c>
      <c r="L53" s="207" t="e">
        <f aca="false">(('Emissions CO2'!$G$49*D53)+('Emissions CO2'!$G$50*D53))*IF(B53*$D$6&gt;1,1,B53*$D$6)</f>
        <v>#N/A</v>
      </c>
      <c r="M53" s="207" t="e">
        <f aca="false">'Emissions CO2'!$F$62*IF(B53*$D$6&gt;1,1,B53*$D$6)*(1-BF53)/'Factors d''emissió'!$D$73</f>
        <v>#N/A</v>
      </c>
      <c r="N53" s="207" t="e">
        <f aca="false">'Emissions CO2'!$F$38*D53*IF(B53*$D$6&gt;1,1,B53*$D$6)</f>
        <v>#N/A</v>
      </c>
      <c r="O53" s="207" t="e">
        <f aca="false">(('Emissions CO2'!$G$51*D53)+('Emissions CO2'!$G$52*D53))*IF(B53*$D$6&gt;1,1,B53*$D$6)</f>
        <v>#N/A</v>
      </c>
      <c r="P53" s="207" t="e">
        <f aca="false">'Emissions CO2'!$F$63*IF(B53*$D$6&gt;1,1,B53*$D$6)*(1-BF53)/'Factors d''emissió'!$D$73</f>
        <v>#N/A</v>
      </c>
      <c r="Q53" s="207" t="e">
        <f aca="false">'Emissions CO2'!$F$39*IF(B53*$D$6&gt;1,1,B53*$D$6)*(D53*'Factors d''emissió'!$C$41+'Factors d''emissió'!$C$10*'Factors d''emissió'!$C$42+'Factors d''emissió'!$C$11*'Factors d''emissió'!$C$43+'Factors d''emissió'!$C$12*'Factors d''emissió'!$C$44)</f>
        <v>#N/A</v>
      </c>
      <c r="R53" s="207" t="e">
        <f aca="false">(('Emissions CO2'!$G$53*D53)+('Emissions CO2'!$G$54*D53))*IF(B53*$D$6&gt;1,1,B53*$D$6)</f>
        <v>#N/A</v>
      </c>
      <c r="S53" s="207" t="e">
        <f aca="false">'Emissions CO2'!$F$64*IF(B53*$D$6&gt;1,1,B53*$D$6)*(1-BF53)/'Factors d''emissió'!$D$73</f>
        <v>#N/A</v>
      </c>
      <c r="T53" s="208" t="e">
        <f aca="false">'Emissions CO2'!$F$40*D53</f>
        <v>#N/A</v>
      </c>
      <c r="U53" s="207" t="e">
        <f aca="false">(('Fixació CO2'!$F$14+'Fixació CO2'!$F$15)*D53*(1-'Factors d''emissió'!$E$55))*IF(B53*$D$6&gt;1,1,B53*$D$6)</f>
        <v>#N/A</v>
      </c>
      <c r="V53" s="207" t="n">
        <f aca="false">(((Dades!$E$135-Dades!$E$134)*Dades!$E$130+(Dades!$F$135-Dades!$F$134)*Dades!$F$130+(Dades!$E$143-Dades!$E$142)*Dades!$E$138+(Dades!$F$143-Dades!$F$142)*Dades!$F$138)*1000/5)+'Fixació CO2'!$F$21+'Fixació CO2'!$F$26*IF(B53*$D$6&gt;1,1,B53*$D$6)+(Dades!$F$121*('Factors d''emissió'!$C$154+('Factors d''emissió'!$C$156-'Factors d''emissió'!$C$154)*IF(B53*$D$6&gt;1,1,B53*$D$6))/10)+'Fixació CO2'!$F$22*IF(B53*$D$6&gt;1,1,B53*$D$6)</f>
        <v>0</v>
      </c>
      <c r="W53" s="207" t="e">
        <f aca="false">('Fixació CO2'!$F$40+'Fixació CO2'!$F$41+('Fixació CO2'!$F$39+'Fixació CO2'!$F$47+'Fixació CO2'!$F$48+'Fixació CO2'!$F$49)*IF(B53*$D$6&gt;1,1,B53*$D$6))*D53</f>
        <v>#N/A</v>
      </c>
      <c r="X53" s="207" t="n">
        <f aca="false">SUM('Fixació CO2'!$F$55:$F$57)</f>
        <v>0</v>
      </c>
      <c r="Y53" s="207" t="e">
        <f aca="false">(SUM(E53:T53)-U53)/1000</f>
        <v>#N/A</v>
      </c>
      <c r="Z53" s="207" t="e">
        <f aca="false">(V53+W53+X53)/1000</f>
        <v>#N/A</v>
      </c>
      <c r="AA53" s="207" t="e">
        <f aca="false">Y53-Z53</f>
        <v>#N/A</v>
      </c>
      <c r="AB53" s="207" t="e">
        <f aca="false">AA53*1000/ABS(Dades!$F$7)</f>
        <v>#N/A</v>
      </c>
      <c r="AC53" s="207" t="e">
        <f aca="false">AB53*10</f>
        <v>#N/A</v>
      </c>
      <c r="AD53" s="209"/>
      <c r="AE53" s="210" t="n">
        <f aca="false">C53</f>
        <v>42</v>
      </c>
      <c r="AF53" s="207" t="e">
        <f aca="false">AF52+Y53</f>
        <v>#N/A</v>
      </c>
      <c r="AG53" s="207" t="e">
        <f aca="false">AG52+Z53</f>
        <v>#N/A</v>
      </c>
      <c r="AH53" s="207" t="e">
        <f aca="false">AF53-AG53</f>
        <v>#N/A</v>
      </c>
      <c r="AJ53" s="207" t="e">
        <f aca="false">(SUM(E53:T53)-U53-F53-G53)/1000</f>
        <v>#N/A</v>
      </c>
      <c r="AK53" s="207" t="e">
        <f aca="false">(V53+W53+X53)/1000</f>
        <v>#N/A</v>
      </c>
      <c r="AL53" s="211"/>
      <c r="AM53" s="207" t="e">
        <f aca="false">AJ53-AK53</f>
        <v>#N/A</v>
      </c>
      <c r="AN53" s="207" t="e">
        <f aca="false">AM53*1000/ABS(Dades!$F$7)</f>
        <v>#N/A</v>
      </c>
      <c r="AO53" s="207" t="e">
        <f aca="false">AN53*10</f>
        <v>#N/A</v>
      </c>
      <c r="AQ53" s="207" t="e">
        <f aca="false">AQ52+AJ53</f>
        <v>#N/A</v>
      </c>
      <c r="AR53" s="207" t="e">
        <f aca="false">AR52+AK53</f>
        <v>#N/A</v>
      </c>
      <c r="AS53" s="207" t="e">
        <f aca="false">AQ53-AR53</f>
        <v>#N/A</v>
      </c>
      <c r="AU53" s="210" t="n">
        <f aca="false">C53</f>
        <v>42</v>
      </c>
      <c r="AV53" s="212" t="n">
        <f aca="false">E53</f>
        <v>0</v>
      </c>
      <c r="AW53" s="212" t="e">
        <f aca="false">F53</f>
        <v>#N/A</v>
      </c>
      <c r="AX53" s="212" t="n">
        <f aca="false">G53</f>
        <v>0</v>
      </c>
      <c r="AY53" s="210" t="e">
        <f aca="false">H53+K53+N53+Q53+T53</f>
        <v>#N/A</v>
      </c>
      <c r="AZ53" s="210" t="e">
        <f aca="false">I53+L53+O53+R53-U53</f>
        <v>#N/A</v>
      </c>
      <c r="BA53" s="210" t="e">
        <f aca="false">J53+M53+P53+S53</f>
        <v>#N/A</v>
      </c>
      <c r="BF53" s="214" t="e">
        <f aca="false">VLOOKUP(C53-1,mix_electric,3,FALSE())</f>
        <v>#N/A</v>
      </c>
    </row>
    <row r="54" customFormat="false" ht="14.4" hidden="false" customHeight="false" outlineLevel="0" collapsed="false">
      <c r="B54" s="204" t="n">
        <v>43</v>
      </c>
      <c r="C54" s="205" t="n">
        <f aca="false">C53+1</f>
        <v>43</v>
      </c>
      <c r="D54" s="206" t="e">
        <f aca="false">VLOOKUP(C54-1,mix_electric,2,FALSE())</f>
        <v>#N/A</v>
      </c>
      <c r="E54" s="207" t="n">
        <f aca="false">'Emissions CO2'!$F$20</f>
        <v>0</v>
      </c>
      <c r="F54" s="207" t="e">
        <f aca="false">'Emissions CO2'!$F$22*IF(B54*$D$6&gt;1,1,B54*$D$6)*D54/'Factors d''emissió'!$C$7</f>
        <v>#N/A</v>
      </c>
      <c r="G54" s="207" t="n">
        <f aca="false">'Emissions CO2'!$F$26*$B$61*IF($D$6*B54&gt;1,0,$D$6)</f>
        <v>0</v>
      </c>
      <c r="H54" s="207" t="e">
        <f aca="false">'Emissions CO2'!$F$36*IF(B54*$D$6&gt;1,1,B54*$D$6)*(D54*'Factors d''emissió'!$C$34+'Factors d''emissió'!$C$35*'Factors d''emissió'!$C$10+'Factors d''emissió'!$C$36*'Factors d''emissió'!$C$11+'Factors d''emissió'!$C$37*'Factors d''emissió'!$C$12)</f>
        <v>#N/A</v>
      </c>
      <c r="I54" s="207" t="e">
        <f aca="false">(('Emissions CO2'!$G$47*D54)+('Emissions CO2'!$G$48*D54))*IF(B54*$D$6&gt;1,1,B54*$D$6)</f>
        <v>#N/A</v>
      </c>
      <c r="J54" s="207" t="e">
        <f aca="false">'Emissions CO2'!$F$61*IF(B54*$D$6&gt;1,1,B54*$D$6)*(1-BF54)/'Factors d''emissió'!$D$73</f>
        <v>#N/A</v>
      </c>
      <c r="K54" s="207" t="e">
        <f aca="false">'Emissions CO2'!$F$37*D54*IF(B54*$D$6&gt;1,1,B54*$D$6)</f>
        <v>#N/A</v>
      </c>
      <c r="L54" s="207" t="e">
        <f aca="false">(('Emissions CO2'!$G$49*D54)+('Emissions CO2'!$G$50*D54))*IF(B54*$D$6&gt;1,1,B54*$D$6)</f>
        <v>#N/A</v>
      </c>
      <c r="M54" s="207" t="e">
        <f aca="false">'Emissions CO2'!$F$62*IF(B54*$D$6&gt;1,1,B54*$D$6)*(1-BF54)/'Factors d''emissió'!$D$73</f>
        <v>#N/A</v>
      </c>
      <c r="N54" s="207" t="e">
        <f aca="false">'Emissions CO2'!$F$38*D54*IF(B54*$D$6&gt;1,1,B54*$D$6)</f>
        <v>#N/A</v>
      </c>
      <c r="O54" s="207" t="e">
        <f aca="false">(('Emissions CO2'!$G$51*D54)+('Emissions CO2'!$G$52*D54))*IF(B54*$D$6&gt;1,1,B54*$D$6)</f>
        <v>#N/A</v>
      </c>
      <c r="P54" s="207" t="e">
        <f aca="false">'Emissions CO2'!$F$63*IF(B54*$D$6&gt;1,1,B54*$D$6)*(1-BF54)/'Factors d''emissió'!$D$73</f>
        <v>#N/A</v>
      </c>
      <c r="Q54" s="207" t="e">
        <f aca="false">'Emissions CO2'!$F$39*IF(B54*$D$6&gt;1,1,B54*$D$6)*(D54*'Factors d''emissió'!$C$41+'Factors d''emissió'!$C$10*'Factors d''emissió'!$C$42+'Factors d''emissió'!$C$11*'Factors d''emissió'!$C$43+'Factors d''emissió'!$C$12*'Factors d''emissió'!$C$44)</f>
        <v>#N/A</v>
      </c>
      <c r="R54" s="207" t="e">
        <f aca="false">(('Emissions CO2'!$G$53*D54)+('Emissions CO2'!$G$54*D54))*IF(B54*$D$6&gt;1,1,B54*$D$6)</f>
        <v>#N/A</v>
      </c>
      <c r="S54" s="207" t="e">
        <f aca="false">'Emissions CO2'!$F$64*IF(B54*$D$6&gt;1,1,B54*$D$6)*(1-BF54)/'Factors d''emissió'!$D$73</f>
        <v>#N/A</v>
      </c>
      <c r="T54" s="208" t="e">
        <f aca="false">'Emissions CO2'!$F$40*D54</f>
        <v>#N/A</v>
      </c>
      <c r="U54" s="207" t="e">
        <f aca="false">(('Fixació CO2'!$F$14+'Fixació CO2'!$F$15)*D54*(1-'Factors d''emissió'!$E$55))*IF(B54*$D$6&gt;1,1,B54*$D$6)</f>
        <v>#N/A</v>
      </c>
      <c r="V54" s="207" t="n">
        <f aca="false">(((Dades!$E$135-Dades!$E$134)*Dades!$E$130+(Dades!$F$135-Dades!$F$134)*Dades!$F$130+(Dades!$E$143-Dades!$E$142)*Dades!$E$138+(Dades!$F$143-Dades!$F$142)*Dades!$F$138)*1000/5)+'Fixació CO2'!$F$21+'Fixació CO2'!$F$26*IF(B54*$D$6&gt;1,1,B54*$D$6)+(Dades!$F$121*('Factors d''emissió'!$C$154+('Factors d''emissió'!$C$156-'Factors d''emissió'!$C$154)*IF(B54*$D$6&gt;1,1,B54*$D$6))/10)+'Fixació CO2'!$F$22*IF(B54*$D$6&gt;1,1,B54*$D$6)</f>
        <v>0</v>
      </c>
      <c r="W54" s="207" t="e">
        <f aca="false">('Fixació CO2'!$F$40+'Fixació CO2'!$F$41+('Fixació CO2'!$F$39+'Fixació CO2'!$F$47+'Fixació CO2'!$F$48+'Fixació CO2'!$F$49)*IF(B54*$D$6&gt;1,1,B54*$D$6))*D54</f>
        <v>#N/A</v>
      </c>
      <c r="X54" s="207" t="n">
        <f aca="false">SUM('Fixació CO2'!$F$55:$F$57)</f>
        <v>0</v>
      </c>
      <c r="Y54" s="207" t="e">
        <f aca="false">(SUM(E54:T54)-U54)/1000</f>
        <v>#N/A</v>
      </c>
      <c r="Z54" s="207" t="e">
        <f aca="false">(V54+W54+X54)/1000</f>
        <v>#N/A</v>
      </c>
      <c r="AA54" s="207" t="e">
        <f aca="false">Y54-Z54</f>
        <v>#N/A</v>
      </c>
      <c r="AB54" s="207" t="e">
        <f aca="false">AA54*1000/ABS(Dades!$F$7)</f>
        <v>#N/A</v>
      </c>
      <c r="AC54" s="207" t="e">
        <f aca="false">AB54*10</f>
        <v>#N/A</v>
      </c>
      <c r="AD54" s="209"/>
      <c r="AE54" s="210" t="n">
        <f aca="false">C54</f>
        <v>43</v>
      </c>
      <c r="AF54" s="207" t="e">
        <f aca="false">AF53+Y54</f>
        <v>#N/A</v>
      </c>
      <c r="AG54" s="207" t="e">
        <f aca="false">AG53+Z54</f>
        <v>#N/A</v>
      </c>
      <c r="AH54" s="207" t="e">
        <f aca="false">AF54-AG54</f>
        <v>#N/A</v>
      </c>
      <c r="AJ54" s="207" t="e">
        <f aca="false">(SUM(E54:T54)-U54-F54-G54)/1000</f>
        <v>#N/A</v>
      </c>
      <c r="AK54" s="207" t="e">
        <f aca="false">(V54+W54+X54)/1000</f>
        <v>#N/A</v>
      </c>
      <c r="AL54" s="211"/>
      <c r="AM54" s="207" t="e">
        <f aca="false">AJ54-AK54</f>
        <v>#N/A</v>
      </c>
      <c r="AN54" s="207" t="e">
        <f aca="false">AM54*1000/ABS(Dades!$F$7)</f>
        <v>#N/A</v>
      </c>
      <c r="AO54" s="207" t="e">
        <f aca="false">AN54*10</f>
        <v>#N/A</v>
      </c>
      <c r="AQ54" s="207" t="e">
        <f aca="false">AQ53+AJ54</f>
        <v>#N/A</v>
      </c>
      <c r="AR54" s="207" t="e">
        <f aca="false">AR53+AK54</f>
        <v>#N/A</v>
      </c>
      <c r="AS54" s="207" t="e">
        <f aca="false">AQ54-AR54</f>
        <v>#N/A</v>
      </c>
      <c r="AU54" s="210" t="n">
        <f aca="false">C54</f>
        <v>43</v>
      </c>
      <c r="AV54" s="212" t="n">
        <f aca="false">E54</f>
        <v>0</v>
      </c>
      <c r="AW54" s="212" t="e">
        <f aca="false">F54</f>
        <v>#N/A</v>
      </c>
      <c r="AX54" s="212" t="n">
        <f aca="false">G54</f>
        <v>0</v>
      </c>
      <c r="AY54" s="210" t="e">
        <f aca="false">H54+K54+N54+Q54+T54</f>
        <v>#N/A</v>
      </c>
      <c r="AZ54" s="210" t="e">
        <f aca="false">I54+L54+O54+R54-U54</f>
        <v>#N/A</v>
      </c>
      <c r="BA54" s="210" t="e">
        <f aca="false">J54+M54+P54+S54</f>
        <v>#N/A</v>
      </c>
      <c r="BF54" s="214" t="e">
        <f aca="false">VLOOKUP(C54-1,mix_electric,3,FALSE())</f>
        <v>#N/A</v>
      </c>
    </row>
    <row r="55" customFormat="false" ht="14.4" hidden="false" customHeight="false" outlineLevel="0" collapsed="false">
      <c r="B55" s="204" t="n">
        <v>44</v>
      </c>
      <c r="C55" s="205" t="n">
        <f aca="false">C54+1</f>
        <v>44</v>
      </c>
      <c r="D55" s="206" t="e">
        <f aca="false">VLOOKUP(C55-1,mix_electric,2,FALSE())</f>
        <v>#N/A</v>
      </c>
      <c r="E55" s="207" t="n">
        <f aca="false">'Emissions CO2'!$F$20</f>
        <v>0</v>
      </c>
      <c r="F55" s="207" t="e">
        <f aca="false">'Emissions CO2'!$F$22*IF(B55*$D$6&gt;1,1,B55*$D$6)*D55/'Factors d''emissió'!$C$7</f>
        <v>#N/A</v>
      </c>
      <c r="G55" s="207" t="n">
        <f aca="false">'Emissions CO2'!$F$26*$B$61*IF($D$6*B55&gt;1,0,$D$6)</f>
        <v>0</v>
      </c>
      <c r="H55" s="207" t="e">
        <f aca="false">'Emissions CO2'!$F$36*IF(B55*$D$6&gt;1,1,B55*$D$6)*(D55*'Factors d''emissió'!$C$34+'Factors d''emissió'!$C$35*'Factors d''emissió'!$C$10+'Factors d''emissió'!$C$36*'Factors d''emissió'!$C$11+'Factors d''emissió'!$C$37*'Factors d''emissió'!$C$12)</f>
        <v>#N/A</v>
      </c>
      <c r="I55" s="207" t="e">
        <f aca="false">(('Emissions CO2'!$G$47*D55)+('Emissions CO2'!$G$48*D55))*IF(B55*$D$6&gt;1,1,B55*$D$6)</f>
        <v>#N/A</v>
      </c>
      <c r="J55" s="207" t="e">
        <f aca="false">'Emissions CO2'!$F$61*IF(B55*$D$6&gt;1,1,B55*$D$6)*(1-BF55)/'Factors d''emissió'!$D$73</f>
        <v>#N/A</v>
      </c>
      <c r="K55" s="207" t="e">
        <f aca="false">'Emissions CO2'!$F$37*D55*IF(B55*$D$6&gt;1,1,B55*$D$6)</f>
        <v>#N/A</v>
      </c>
      <c r="L55" s="207" t="e">
        <f aca="false">(('Emissions CO2'!$G$49*D55)+('Emissions CO2'!$G$50*D55))*IF(B55*$D$6&gt;1,1,B55*$D$6)</f>
        <v>#N/A</v>
      </c>
      <c r="M55" s="207" t="e">
        <f aca="false">'Emissions CO2'!$F$62*IF(B55*$D$6&gt;1,1,B55*$D$6)*(1-BF55)/'Factors d''emissió'!$D$73</f>
        <v>#N/A</v>
      </c>
      <c r="N55" s="207" t="e">
        <f aca="false">'Emissions CO2'!$F$38*D55*IF(B55*$D$6&gt;1,1,B55*$D$6)</f>
        <v>#N/A</v>
      </c>
      <c r="O55" s="207" t="e">
        <f aca="false">(('Emissions CO2'!$G$51*D55)+('Emissions CO2'!$G$52*D55))*IF(B55*$D$6&gt;1,1,B55*$D$6)</f>
        <v>#N/A</v>
      </c>
      <c r="P55" s="207" t="e">
        <f aca="false">'Emissions CO2'!$F$63*IF(B55*$D$6&gt;1,1,B55*$D$6)*(1-BF55)/'Factors d''emissió'!$D$73</f>
        <v>#N/A</v>
      </c>
      <c r="Q55" s="207" t="e">
        <f aca="false">'Emissions CO2'!$F$39*IF(B55*$D$6&gt;1,1,B55*$D$6)*(D55*'Factors d''emissió'!$C$41+'Factors d''emissió'!$C$10*'Factors d''emissió'!$C$42+'Factors d''emissió'!$C$11*'Factors d''emissió'!$C$43+'Factors d''emissió'!$C$12*'Factors d''emissió'!$C$44)</f>
        <v>#N/A</v>
      </c>
      <c r="R55" s="207" t="e">
        <f aca="false">(('Emissions CO2'!$G$53*D55)+('Emissions CO2'!$G$54*D55))*IF(B55*$D$6&gt;1,1,B55*$D$6)</f>
        <v>#N/A</v>
      </c>
      <c r="S55" s="207" t="e">
        <f aca="false">'Emissions CO2'!$F$64*IF(B55*$D$6&gt;1,1,B55*$D$6)*(1-BF55)/'Factors d''emissió'!$D$73</f>
        <v>#N/A</v>
      </c>
      <c r="T55" s="208" t="e">
        <f aca="false">'Emissions CO2'!$F$40*D55</f>
        <v>#N/A</v>
      </c>
      <c r="U55" s="207" t="e">
        <f aca="false">(('Fixació CO2'!$F$14+'Fixació CO2'!$F$15)*D55*(1-'Factors d''emissió'!$E$55))*IF(B55*$D$6&gt;1,1,B55*$D$6)</f>
        <v>#N/A</v>
      </c>
      <c r="V55" s="207" t="n">
        <f aca="false">(((Dades!$E$135-Dades!$E$134)*Dades!$E$130+(Dades!$F$135-Dades!$F$134)*Dades!$F$130+(Dades!$E$143-Dades!$E$142)*Dades!$E$138+(Dades!$F$143-Dades!$F$142)*Dades!$F$138)*1000/5)+'Fixació CO2'!$F$21+'Fixació CO2'!$F$26*IF(B55*$D$6&gt;1,1,B55*$D$6)+(Dades!$F$121*('Factors d''emissió'!$C$154+('Factors d''emissió'!$C$156-'Factors d''emissió'!$C$154)*IF(B55*$D$6&gt;1,1,B55*$D$6))/10)+'Fixació CO2'!$F$22*IF(B55*$D$6&gt;1,1,B55*$D$6)</f>
        <v>0</v>
      </c>
      <c r="W55" s="207" t="e">
        <f aca="false">('Fixació CO2'!$F$40+'Fixació CO2'!$F$41+('Fixació CO2'!$F$39+'Fixació CO2'!$F$47+'Fixació CO2'!$F$48+'Fixació CO2'!$F$49)*IF(B55*$D$6&gt;1,1,B55*$D$6))*D55</f>
        <v>#N/A</v>
      </c>
      <c r="X55" s="207" t="n">
        <f aca="false">SUM('Fixació CO2'!$F$55:$F$57)</f>
        <v>0</v>
      </c>
      <c r="Y55" s="207" t="e">
        <f aca="false">(SUM(E55:T55)-U55)/1000</f>
        <v>#N/A</v>
      </c>
      <c r="Z55" s="207" t="e">
        <f aca="false">(V55+W55+X55)/1000</f>
        <v>#N/A</v>
      </c>
      <c r="AA55" s="207" t="e">
        <f aca="false">Y55-Z55</f>
        <v>#N/A</v>
      </c>
      <c r="AB55" s="207" t="e">
        <f aca="false">AA55*1000/ABS(Dades!$F$7)</f>
        <v>#N/A</v>
      </c>
      <c r="AC55" s="207" t="e">
        <f aca="false">AB55*10</f>
        <v>#N/A</v>
      </c>
      <c r="AD55" s="209"/>
      <c r="AE55" s="210" t="n">
        <f aca="false">C55</f>
        <v>44</v>
      </c>
      <c r="AF55" s="207" t="e">
        <f aca="false">AF54+Y55</f>
        <v>#N/A</v>
      </c>
      <c r="AG55" s="207" t="e">
        <f aca="false">AG54+Z55</f>
        <v>#N/A</v>
      </c>
      <c r="AH55" s="207" t="e">
        <f aca="false">AF55-AG55</f>
        <v>#N/A</v>
      </c>
      <c r="AJ55" s="207" t="e">
        <f aca="false">(SUM(E55:T55)-U55-F55-G55)/1000</f>
        <v>#N/A</v>
      </c>
      <c r="AK55" s="207" t="e">
        <f aca="false">(V55+W55+X55)/1000</f>
        <v>#N/A</v>
      </c>
      <c r="AL55" s="211"/>
      <c r="AM55" s="207" t="e">
        <f aca="false">AJ55-AK55</f>
        <v>#N/A</v>
      </c>
      <c r="AN55" s="207" t="e">
        <f aca="false">AM55*1000/ABS(Dades!$F$7)</f>
        <v>#N/A</v>
      </c>
      <c r="AO55" s="207" t="e">
        <f aca="false">AN55*10</f>
        <v>#N/A</v>
      </c>
      <c r="AQ55" s="207" t="e">
        <f aca="false">AQ54+AJ55</f>
        <v>#N/A</v>
      </c>
      <c r="AR55" s="207" t="e">
        <f aca="false">AR54+AK55</f>
        <v>#N/A</v>
      </c>
      <c r="AS55" s="207" t="e">
        <f aca="false">AQ55-AR55</f>
        <v>#N/A</v>
      </c>
      <c r="AU55" s="210" t="n">
        <f aca="false">C55</f>
        <v>44</v>
      </c>
      <c r="AV55" s="212" t="n">
        <f aca="false">E55</f>
        <v>0</v>
      </c>
      <c r="AW55" s="212" t="e">
        <f aca="false">F55</f>
        <v>#N/A</v>
      </c>
      <c r="AX55" s="212" t="n">
        <f aca="false">G55</f>
        <v>0</v>
      </c>
      <c r="AY55" s="210" t="e">
        <f aca="false">H55+K55+N55+Q55+T55</f>
        <v>#N/A</v>
      </c>
      <c r="AZ55" s="210" t="e">
        <f aca="false">I55+L55+O55+R55-U55</f>
        <v>#N/A</v>
      </c>
      <c r="BA55" s="210" t="e">
        <f aca="false">J55+M55+P55+S55</f>
        <v>#N/A</v>
      </c>
      <c r="BF55" s="214" t="e">
        <f aca="false">VLOOKUP(C55-1,mix_electric,3,FALSE())</f>
        <v>#N/A</v>
      </c>
    </row>
    <row r="56" customFormat="false" ht="14.4" hidden="false" customHeight="false" outlineLevel="0" collapsed="false">
      <c r="B56" s="204" t="n">
        <v>45</v>
      </c>
      <c r="C56" s="205" t="n">
        <f aca="false">C55+1</f>
        <v>45</v>
      </c>
      <c r="D56" s="206" t="e">
        <f aca="false">VLOOKUP(C56-1,mix_electric,2,FALSE())</f>
        <v>#N/A</v>
      </c>
      <c r="E56" s="207" t="n">
        <f aca="false">'Emissions CO2'!$F$20</f>
        <v>0</v>
      </c>
      <c r="F56" s="207" t="e">
        <f aca="false">'Emissions CO2'!$F$22*IF(B56*$D$6&gt;1,1,B56*$D$6)*D56/'Factors d''emissió'!$C$7</f>
        <v>#N/A</v>
      </c>
      <c r="G56" s="207" t="n">
        <f aca="false">'Emissions CO2'!$F$26*$B$61*IF($D$6*B56&gt;1,0,$D$6)</f>
        <v>0</v>
      </c>
      <c r="H56" s="207" t="e">
        <f aca="false">'Emissions CO2'!$F$36*IF(B56*$D$6&gt;1,1,B56*$D$6)*(D56*'Factors d''emissió'!$C$34+'Factors d''emissió'!$C$35*'Factors d''emissió'!$C$10+'Factors d''emissió'!$C$36*'Factors d''emissió'!$C$11+'Factors d''emissió'!$C$37*'Factors d''emissió'!$C$12)</f>
        <v>#N/A</v>
      </c>
      <c r="I56" s="207" t="e">
        <f aca="false">(('Emissions CO2'!$G$47*D56)+('Emissions CO2'!$G$48*D56))*IF(B56*$D$6&gt;1,1,B56*$D$6)</f>
        <v>#N/A</v>
      </c>
      <c r="J56" s="207" t="e">
        <f aca="false">'Emissions CO2'!$F$61*IF(B56*$D$6&gt;1,1,B56*$D$6)*(1-BF56)/'Factors d''emissió'!$D$73</f>
        <v>#N/A</v>
      </c>
      <c r="K56" s="207" t="e">
        <f aca="false">'Emissions CO2'!$F$37*D56*IF(B56*$D$6&gt;1,1,B56*$D$6)</f>
        <v>#N/A</v>
      </c>
      <c r="L56" s="207" t="e">
        <f aca="false">(('Emissions CO2'!$G$49*D56)+('Emissions CO2'!$G$50*D56))*IF(B56*$D$6&gt;1,1,B56*$D$6)</f>
        <v>#N/A</v>
      </c>
      <c r="M56" s="207" t="e">
        <f aca="false">'Emissions CO2'!$F$62*IF(B56*$D$6&gt;1,1,B56*$D$6)*(1-BF56)/'Factors d''emissió'!$D$73</f>
        <v>#N/A</v>
      </c>
      <c r="N56" s="207" t="e">
        <f aca="false">'Emissions CO2'!$F$38*D56*IF(B56*$D$6&gt;1,1,B56*$D$6)</f>
        <v>#N/A</v>
      </c>
      <c r="O56" s="207" t="e">
        <f aca="false">(('Emissions CO2'!$G$51*D56)+('Emissions CO2'!$G$52*D56))*IF(B56*$D$6&gt;1,1,B56*$D$6)</f>
        <v>#N/A</v>
      </c>
      <c r="P56" s="207" t="e">
        <f aca="false">'Emissions CO2'!$F$63*IF(B56*$D$6&gt;1,1,B56*$D$6)*(1-BF56)/'Factors d''emissió'!$D$73</f>
        <v>#N/A</v>
      </c>
      <c r="Q56" s="207" t="e">
        <f aca="false">'Emissions CO2'!$F$39*IF(B56*$D$6&gt;1,1,B56*$D$6)*(D56*'Factors d''emissió'!$C$41+'Factors d''emissió'!$C$10*'Factors d''emissió'!$C$42+'Factors d''emissió'!$C$11*'Factors d''emissió'!$C$43+'Factors d''emissió'!$C$12*'Factors d''emissió'!$C$44)</f>
        <v>#N/A</v>
      </c>
      <c r="R56" s="207" t="e">
        <f aca="false">(('Emissions CO2'!$G$53*D56)+('Emissions CO2'!$G$54*D56))*IF(B56*$D$6&gt;1,1,B56*$D$6)</f>
        <v>#N/A</v>
      </c>
      <c r="S56" s="207" t="e">
        <f aca="false">'Emissions CO2'!$F$64*IF(B56*$D$6&gt;1,1,B56*$D$6)*(1-BF56)/'Factors d''emissió'!$D$73</f>
        <v>#N/A</v>
      </c>
      <c r="T56" s="208" t="e">
        <f aca="false">'Emissions CO2'!$F$40*D56</f>
        <v>#N/A</v>
      </c>
      <c r="U56" s="207" t="e">
        <f aca="false">(('Fixació CO2'!$F$14+'Fixació CO2'!$F$15)*D56*(1-'Factors d''emissió'!$E$55))*IF(B56*$D$6&gt;1,1,B56*$D$6)</f>
        <v>#N/A</v>
      </c>
      <c r="V56" s="207" t="n">
        <f aca="false">(((Dades!$E$135-Dades!$E$134)*Dades!$E$130+(Dades!$F$135-Dades!$F$134)*Dades!$F$130+(Dades!$E$143-Dades!$E$142)*Dades!$E$138+(Dades!$F$143-Dades!$F$142)*Dades!$F$138)*1000/5)+'Fixació CO2'!$F$21+'Fixació CO2'!$F$26*IF(B56*$D$6&gt;1,1,B56*$D$6)+(Dades!$F$121*('Factors d''emissió'!$C$154+('Factors d''emissió'!$C$156-'Factors d''emissió'!$C$154)*IF(B56*$D$6&gt;1,1,B56*$D$6))/10)+'Fixació CO2'!$F$22*IF(B56*$D$6&gt;1,1,B56*$D$6)</f>
        <v>0</v>
      </c>
      <c r="W56" s="207" t="e">
        <f aca="false">('Fixació CO2'!$F$40+'Fixació CO2'!$F$41+('Fixació CO2'!$F$39+'Fixació CO2'!$F$47+'Fixació CO2'!$F$48+'Fixació CO2'!$F$49)*IF(B56*$D$6&gt;1,1,B56*$D$6))*D56</f>
        <v>#N/A</v>
      </c>
      <c r="X56" s="207" t="n">
        <f aca="false">SUM('Fixació CO2'!$F$55:$F$57)</f>
        <v>0</v>
      </c>
      <c r="Y56" s="207" t="e">
        <f aca="false">(SUM(E56:T56)-U56)/1000</f>
        <v>#N/A</v>
      </c>
      <c r="Z56" s="207" t="e">
        <f aca="false">(V56+W56+X56)/1000</f>
        <v>#N/A</v>
      </c>
      <c r="AA56" s="207" t="e">
        <f aca="false">Y56-Z56</f>
        <v>#N/A</v>
      </c>
      <c r="AB56" s="207" t="e">
        <f aca="false">AA56*1000/ABS(Dades!$F$7)</f>
        <v>#N/A</v>
      </c>
      <c r="AC56" s="207" t="e">
        <f aca="false">AB56*10</f>
        <v>#N/A</v>
      </c>
      <c r="AD56" s="209"/>
      <c r="AE56" s="210" t="n">
        <f aca="false">C56</f>
        <v>45</v>
      </c>
      <c r="AF56" s="207" t="e">
        <f aca="false">AF55+Y56</f>
        <v>#N/A</v>
      </c>
      <c r="AG56" s="207" t="e">
        <f aca="false">AG55+Z56</f>
        <v>#N/A</v>
      </c>
      <c r="AH56" s="207" t="e">
        <f aca="false">AF56-AG56</f>
        <v>#N/A</v>
      </c>
      <c r="AJ56" s="207" t="e">
        <f aca="false">(SUM(E56:T56)-U56-F56-G56)/1000</f>
        <v>#N/A</v>
      </c>
      <c r="AK56" s="207" t="e">
        <f aca="false">(V56+W56+X56)/1000</f>
        <v>#N/A</v>
      </c>
      <c r="AL56" s="211"/>
      <c r="AM56" s="207" t="e">
        <f aca="false">AJ56-AK56</f>
        <v>#N/A</v>
      </c>
      <c r="AN56" s="207" t="e">
        <f aca="false">AM56*1000/ABS(Dades!$F$7)</f>
        <v>#N/A</v>
      </c>
      <c r="AO56" s="207" t="e">
        <f aca="false">AN56*10</f>
        <v>#N/A</v>
      </c>
      <c r="AQ56" s="207" t="e">
        <f aca="false">AQ55+AJ56</f>
        <v>#N/A</v>
      </c>
      <c r="AR56" s="207" t="e">
        <f aca="false">AR55+AK56</f>
        <v>#N/A</v>
      </c>
      <c r="AS56" s="207" t="e">
        <f aca="false">AQ56-AR56</f>
        <v>#N/A</v>
      </c>
      <c r="AU56" s="210" t="n">
        <f aca="false">C56</f>
        <v>45</v>
      </c>
      <c r="AV56" s="212" t="n">
        <f aca="false">E56</f>
        <v>0</v>
      </c>
      <c r="AW56" s="212" t="e">
        <f aca="false">F56</f>
        <v>#N/A</v>
      </c>
      <c r="AX56" s="212" t="n">
        <f aca="false">G56</f>
        <v>0</v>
      </c>
      <c r="AY56" s="210" t="e">
        <f aca="false">H56+K56+N56+Q56+T56</f>
        <v>#N/A</v>
      </c>
      <c r="AZ56" s="210" t="e">
        <f aca="false">I56+L56+O56+R56-U56</f>
        <v>#N/A</v>
      </c>
      <c r="BA56" s="210" t="e">
        <f aca="false">J56+M56+P56+S56</f>
        <v>#N/A</v>
      </c>
      <c r="BF56" s="214" t="e">
        <f aca="false">VLOOKUP(C56-1,mix_electric,3,FALSE())</f>
        <v>#N/A</v>
      </c>
    </row>
    <row r="57" customFormat="false" ht="14.4" hidden="false" customHeight="false" outlineLevel="0" collapsed="false">
      <c r="B57" s="204" t="n">
        <v>46</v>
      </c>
      <c r="C57" s="205" t="n">
        <f aca="false">C56+1</f>
        <v>46</v>
      </c>
      <c r="D57" s="206" t="e">
        <f aca="false">VLOOKUP(C57-1,mix_electric,2,FALSE())</f>
        <v>#N/A</v>
      </c>
      <c r="E57" s="207" t="n">
        <f aca="false">'Emissions CO2'!$F$20</f>
        <v>0</v>
      </c>
      <c r="F57" s="207" t="e">
        <f aca="false">'Emissions CO2'!$F$22*IF(B57*$D$6&gt;1,1,B57*$D$6)*D57/'Factors d''emissió'!$C$7</f>
        <v>#N/A</v>
      </c>
      <c r="G57" s="207" t="n">
        <f aca="false">'Emissions CO2'!$F$26*$B$61*IF($D$6*B57&gt;1,0,$D$6)</f>
        <v>0</v>
      </c>
      <c r="H57" s="207" t="e">
        <f aca="false">'Emissions CO2'!$F$36*IF(B57*$D$6&gt;1,1,B57*$D$6)*(D57*'Factors d''emissió'!$C$34+'Factors d''emissió'!$C$35*'Factors d''emissió'!$C$10+'Factors d''emissió'!$C$36*'Factors d''emissió'!$C$11+'Factors d''emissió'!$C$37*'Factors d''emissió'!$C$12)</f>
        <v>#N/A</v>
      </c>
      <c r="I57" s="207" t="e">
        <f aca="false">(('Emissions CO2'!$G$47*D57)+('Emissions CO2'!$G$48*D57))*IF(B57*$D$6&gt;1,1,B57*$D$6)</f>
        <v>#N/A</v>
      </c>
      <c r="J57" s="207" t="e">
        <f aca="false">'Emissions CO2'!$F$61*IF(B57*$D$6&gt;1,1,B57*$D$6)*(1-BF57)/'Factors d''emissió'!$D$73</f>
        <v>#N/A</v>
      </c>
      <c r="K57" s="207" t="e">
        <f aca="false">'Emissions CO2'!$F$37*D57*IF(B57*$D$6&gt;1,1,B57*$D$6)</f>
        <v>#N/A</v>
      </c>
      <c r="L57" s="207" t="e">
        <f aca="false">(('Emissions CO2'!$G$49*D57)+('Emissions CO2'!$G$50*D57))*IF(B57*$D$6&gt;1,1,B57*$D$6)</f>
        <v>#N/A</v>
      </c>
      <c r="M57" s="207" t="e">
        <f aca="false">'Emissions CO2'!$F$62*IF(B57*$D$6&gt;1,1,B57*$D$6)*(1-BF57)/'Factors d''emissió'!$D$73</f>
        <v>#N/A</v>
      </c>
      <c r="N57" s="207" t="e">
        <f aca="false">'Emissions CO2'!$F$38*D57*IF(B57*$D$6&gt;1,1,B57*$D$6)</f>
        <v>#N/A</v>
      </c>
      <c r="O57" s="207" t="e">
        <f aca="false">(('Emissions CO2'!$G$51*D57)+('Emissions CO2'!$G$52*D57))*IF(B57*$D$6&gt;1,1,B57*$D$6)</f>
        <v>#N/A</v>
      </c>
      <c r="P57" s="207" t="e">
        <f aca="false">'Emissions CO2'!$F$63*IF(B57*$D$6&gt;1,1,B57*$D$6)*(1-BF57)/'Factors d''emissió'!$D$73</f>
        <v>#N/A</v>
      </c>
      <c r="Q57" s="207" t="e">
        <f aca="false">'Emissions CO2'!$F$39*IF(B57*$D$6&gt;1,1,B57*$D$6)*(D57*'Factors d''emissió'!$C$41+'Factors d''emissió'!$C$10*'Factors d''emissió'!$C$42+'Factors d''emissió'!$C$11*'Factors d''emissió'!$C$43+'Factors d''emissió'!$C$12*'Factors d''emissió'!$C$44)</f>
        <v>#N/A</v>
      </c>
      <c r="R57" s="207" t="e">
        <f aca="false">(('Emissions CO2'!$G$53*D57)+('Emissions CO2'!$G$54*D57))*IF(B57*$D$6&gt;1,1,B57*$D$6)</f>
        <v>#N/A</v>
      </c>
      <c r="S57" s="207" t="e">
        <f aca="false">'Emissions CO2'!$F$64*IF(B57*$D$6&gt;1,1,B57*$D$6)*(1-BF57)/'Factors d''emissió'!$D$73</f>
        <v>#N/A</v>
      </c>
      <c r="T57" s="208" t="e">
        <f aca="false">'Emissions CO2'!$F$40*D57</f>
        <v>#N/A</v>
      </c>
      <c r="U57" s="207" t="e">
        <f aca="false">(('Fixació CO2'!$F$14+'Fixació CO2'!$F$15)*D57*(1-'Factors d''emissió'!$E$55))*IF(B57*$D$6&gt;1,1,B57*$D$6)</f>
        <v>#N/A</v>
      </c>
      <c r="V57" s="207" t="n">
        <f aca="false">(((Dades!$E$135-Dades!$E$134)*Dades!$E$130+(Dades!$F$135-Dades!$F$134)*Dades!$F$130+(Dades!$E$143-Dades!$E$142)*Dades!$E$138+(Dades!$F$143-Dades!$F$142)*Dades!$F$138)*1000/5)+'Fixació CO2'!$F$21+'Fixació CO2'!$F$26*IF(B57*$D$6&gt;1,1,B57*$D$6)+(Dades!$F$121*('Factors d''emissió'!$C$154+('Factors d''emissió'!$C$156-'Factors d''emissió'!$C$154)*IF(B57*$D$6&gt;1,1,B57*$D$6))/10)+'Fixació CO2'!$F$22*IF(B57*$D$6&gt;1,1,B57*$D$6)</f>
        <v>0</v>
      </c>
      <c r="W57" s="207" t="e">
        <f aca="false">('Fixació CO2'!$F$40+'Fixació CO2'!$F$41+('Fixació CO2'!$F$39+'Fixació CO2'!$F$47+'Fixació CO2'!$F$48+'Fixació CO2'!$F$49)*IF(B57*$D$6&gt;1,1,B57*$D$6))*D57</f>
        <v>#N/A</v>
      </c>
      <c r="X57" s="207" t="n">
        <f aca="false">SUM('Fixació CO2'!$F$55:$F$57)</f>
        <v>0</v>
      </c>
      <c r="Y57" s="207" t="e">
        <f aca="false">(SUM(E57:T57)-U57)/1000</f>
        <v>#N/A</v>
      </c>
      <c r="Z57" s="207" t="e">
        <f aca="false">(V57+W57+X57)/1000</f>
        <v>#N/A</v>
      </c>
      <c r="AA57" s="207" t="e">
        <f aca="false">Y57-Z57</f>
        <v>#N/A</v>
      </c>
      <c r="AB57" s="207" t="e">
        <f aca="false">AA57*1000/ABS(Dades!$F$7)</f>
        <v>#N/A</v>
      </c>
      <c r="AC57" s="207" t="e">
        <f aca="false">AB57*10</f>
        <v>#N/A</v>
      </c>
      <c r="AD57" s="209"/>
      <c r="AE57" s="210" t="n">
        <f aca="false">C57</f>
        <v>46</v>
      </c>
      <c r="AF57" s="207" t="e">
        <f aca="false">AF56+Y57</f>
        <v>#N/A</v>
      </c>
      <c r="AG57" s="207" t="e">
        <f aca="false">AG56+Z57</f>
        <v>#N/A</v>
      </c>
      <c r="AH57" s="207" t="e">
        <f aca="false">AF57-AG57</f>
        <v>#N/A</v>
      </c>
      <c r="AJ57" s="207" t="e">
        <f aca="false">(SUM(E57:T57)-U57-F57-G57)/1000</f>
        <v>#N/A</v>
      </c>
      <c r="AK57" s="207" t="e">
        <f aca="false">(V57+W57+X57)/1000</f>
        <v>#N/A</v>
      </c>
      <c r="AL57" s="211"/>
      <c r="AM57" s="207" t="e">
        <f aca="false">AJ57-AK57</f>
        <v>#N/A</v>
      </c>
      <c r="AN57" s="207" t="e">
        <f aca="false">AM57*1000/ABS(Dades!$F$7)</f>
        <v>#N/A</v>
      </c>
      <c r="AO57" s="207" t="e">
        <f aca="false">AN57*10</f>
        <v>#N/A</v>
      </c>
      <c r="AQ57" s="207" t="e">
        <f aca="false">AQ56+AJ57</f>
        <v>#N/A</v>
      </c>
      <c r="AR57" s="207" t="e">
        <f aca="false">AR56+AK57</f>
        <v>#N/A</v>
      </c>
      <c r="AS57" s="207" t="e">
        <f aca="false">AQ57-AR57</f>
        <v>#N/A</v>
      </c>
      <c r="AU57" s="210" t="n">
        <f aca="false">C57</f>
        <v>46</v>
      </c>
      <c r="AV57" s="212" t="n">
        <f aca="false">E57</f>
        <v>0</v>
      </c>
      <c r="AW57" s="212" t="e">
        <f aca="false">F57</f>
        <v>#N/A</v>
      </c>
      <c r="AX57" s="212" t="n">
        <f aca="false">G57</f>
        <v>0</v>
      </c>
      <c r="AY57" s="210" t="e">
        <f aca="false">H57+K57+N57+Q57+T57</f>
        <v>#N/A</v>
      </c>
      <c r="AZ57" s="210" t="e">
        <f aca="false">I57+L57+O57+R57-U57</f>
        <v>#N/A</v>
      </c>
      <c r="BA57" s="210" t="e">
        <f aca="false">J57+M57+P57+S57</f>
        <v>#N/A</v>
      </c>
      <c r="BF57" s="214" t="e">
        <f aca="false">VLOOKUP(C57-1,mix_electric,3,FALSE())</f>
        <v>#N/A</v>
      </c>
    </row>
    <row r="58" customFormat="false" ht="14.4" hidden="false" customHeight="false" outlineLevel="0" collapsed="false">
      <c r="B58" s="204" t="n">
        <v>47</v>
      </c>
      <c r="C58" s="205" t="n">
        <f aca="false">C57+1</f>
        <v>47</v>
      </c>
      <c r="D58" s="206" t="e">
        <f aca="false">VLOOKUP(C58-1,mix_electric,2,FALSE())</f>
        <v>#N/A</v>
      </c>
      <c r="E58" s="207" t="n">
        <f aca="false">'Emissions CO2'!$F$20</f>
        <v>0</v>
      </c>
      <c r="F58" s="207" t="e">
        <f aca="false">'Emissions CO2'!$F$22*IF(B58*$D$6&gt;1,1,B58*$D$6)*D58/'Factors d''emissió'!$C$7</f>
        <v>#N/A</v>
      </c>
      <c r="G58" s="207" t="n">
        <f aca="false">'Emissions CO2'!$F$26*$B$61*IF($D$6*B58&gt;1,0,$D$6)</f>
        <v>0</v>
      </c>
      <c r="H58" s="207" t="e">
        <f aca="false">'Emissions CO2'!$F$36*IF(B58*$D$6&gt;1,1,B58*$D$6)*(D58*'Factors d''emissió'!$C$34+'Factors d''emissió'!$C$35*'Factors d''emissió'!$C$10+'Factors d''emissió'!$C$36*'Factors d''emissió'!$C$11+'Factors d''emissió'!$C$37*'Factors d''emissió'!$C$12)</f>
        <v>#N/A</v>
      </c>
      <c r="I58" s="207" t="e">
        <f aca="false">(('Emissions CO2'!$G$47*D58)+('Emissions CO2'!$G$48*D58))*IF(B58*$D$6&gt;1,1,B58*$D$6)</f>
        <v>#N/A</v>
      </c>
      <c r="J58" s="207" t="e">
        <f aca="false">'Emissions CO2'!$F$61*IF(B58*$D$6&gt;1,1,B58*$D$6)*(1-BF58)/'Factors d''emissió'!$D$73</f>
        <v>#N/A</v>
      </c>
      <c r="K58" s="207" t="e">
        <f aca="false">'Emissions CO2'!$F$37*D58*IF(B58*$D$6&gt;1,1,B58*$D$6)</f>
        <v>#N/A</v>
      </c>
      <c r="L58" s="207" t="e">
        <f aca="false">(('Emissions CO2'!$G$49*D58)+('Emissions CO2'!$G$50*D58))*IF(B58*$D$6&gt;1,1,B58*$D$6)</f>
        <v>#N/A</v>
      </c>
      <c r="M58" s="207" t="e">
        <f aca="false">'Emissions CO2'!$F$62*IF(B58*$D$6&gt;1,1,B58*$D$6)*(1-BF58)/'Factors d''emissió'!$D$73</f>
        <v>#N/A</v>
      </c>
      <c r="N58" s="207" t="e">
        <f aca="false">'Emissions CO2'!$F$38*D58*IF(B58*$D$6&gt;1,1,B58*$D$6)</f>
        <v>#N/A</v>
      </c>
      <c r="O58" s="207" t="e">
        <f aca="false">(('Emissions CO2'!$G$51*D58)+('Emissions CO2'!$G$52*D58))*IF(B58*$D$6&gt;1,1,B58*$D$6)</f>
        <v>#N/A</v>
      </c>
      <c r="P58" s="207" t="e">
        <f aca="false">'Emissions CO2'!$F$63*IF(B58*$D$6&gt;1,1,B58*$D$6)*(1-BF58)/'Factors d''emissió'!$D$73</f>
        <v>#N/A</v>
      </c>
      <c r="Q58" s="207" t="e">
        <f aca="false">'Emissions CO2'!$F$39*IF(B58*$D$6&gt;1,1,B58*$D$6)*(D58*'Factors d''emissió'!$C$41+'Factors d''emissió'!$C$10*'Factors d''emissió'!$C$42+'Factors d''emissió'!$C$11*'Factors d''emissió'!$C$43+'Factors d''emissió'!$C$12*'Factors d''emissió'!$C$44)</f>
        <v>#N/A</v>
      </c>
      <c r="R58" s="207" t="e">
        <f aca="false">(('Emissions CO2'!$G$53*D58)+('Emissions CO2'!$G$54*D58))*IF(B58*$D$6&gt;1,1,B58*$D$6)</f>
        <v>#N/A</v>
      </c>
      <c r="S58" s="207" t="e">
        <f aca="false">'Emissions CO2'!$F$64*IF(B58*$D$6&gt;1,1,B58*$D$6)*(1-BF58)/'Factors d''emissió'!$D$73</f>
        <v>#N/A</v>
      </c>
      <c r="T58" s="208" t="e">
        <f aca="false">'Emissions CO2'!$F$40*D58</f>
        <v>#N/A</v>
      </c>
      <c r="U58" s="207" t="e">
        <f aca="false">(('Fixació CO2'!$F$14+'Fixació CO2'!$F$15)*D58*(1-'Factors d''emissió'!$E$55))*IF(B58*$D$6&gt;1,1,B58*$D$6)</f>
        <v>#N/A</v>
      </c>
      <c r="V58" s="207" t="n">
        <f aca="false">(((Dades!$E$135-Dades!$E$134)*Dades!$E$130+(Dades!$F$135-Dades!$F$134)*Dades!$F$130+(Dades!$E$143-Dades!$E$142)*Dades!$E$138+(Dades!$F$143-Dades!$F$142)*Dades!$F$138)*1000/5)+'Fixació CO2'!$F$21+'Fixació CO2'!$F$26*IF(B58*$D$6&gt;1,1,B58*$D$6)+(Dades!$F$121*('Factors d''emissió'!$C$154+('Factors d''emissió'!$C$156-'Factors d''emissió'!$C$154)*IF(B58*$D$6&gt;1,1,B58*$D$6))/10)+'Fixació CO2'!$F$22*IF(B58*$D$6&gt;1,1,B58*$D$6)</f>
        <v>0</v>
      </c>
      <c r="W58" s="207" t="e">
        <f aca="false">('Fixació CO2'!$F$40+'Fixació CO2'!$F$41+('Fixació CO2'!$F$39+'Fixació CO2'!$F$47+'Fixació CO2'!$F$48+'Fixació CO2'!$F$49)*IF(B58*$D$6&gt;1,1,B58*$D$6))*D58</f>
        <v>#N/A</v>
      </c>
      <c r="X58" s="207" t="n">
        <f aca="false">SUM('Fixació CO2'!$F$55:$F$57)</f>
        <v>0</v>
      </c>
      <c r="Y58" s="207" t="e">
        <f aca="false">(SUM(E58:T58)-U58)/1000</f>
        <v>#N/A</v>
      </c>
      <c r="Z58" s="207" t="e">
        <f aca="false">(V58+W58+X58)/1000</f>
        <v>#N/A</v>
      </c>
      <c r="AA58" s="207" t="e">
        <f aca="false">Y58-Z58</f>
        <v>#N/A</v>
      </c>
      <c r="AB58" s="207" t="e">
        <f aca="false">AA58*1000/ABS(Dades!$F$7)</f>
        <v>#N/A</v>
      </c>
      <c r="AC58" s="207" t="e">
        <f aca="false">AB58*10</f>
        <v>#N/A</v>
      </c>
      <c r="AD58" s="209"/>
      <c r="AE58" s="210" t="n">
        <f aca="false">C58</f>
        <v>47</v>
      </c>
      <c r="AF58" s="207" t="e">
        <f aca="false">AF57+Y58</f>
        <v>#N/A</v>
      </c>
      <c r="AG58" s="207" t="e">
        <f aca="false">AG57+Z58</f>
        <v>#N/A</v>
      </c>
      <c r="AH58" s="207" t="e">
        <f aca="false">AF58-AG58</f>
        <v>#N/A</v>
      </c>
      <c r="AJ58" s="207" t="e">
        <f aca="false">(SUM(E58:T58)-U58-F58-G58)/1000</f>
        <v>#N/A</v>
      </c>
      <c r="AK58" s="207" t="e">
        <f aca="false">(V58+W58+X58)/1000</f>
        <v>#N/A</v>
      </c>
      <c r="AL58" s="211"/>
      <c r="AM58" s="207" t="e">
        <f aca="false">AJ58-AK58</f>
        <v>#N/A</v>
      </c>
      <c r="AN58" s="207" t="e">
        <f aca="false">AM58*1000/ABS(Dades!$F$7)</f>
        <v>#N/A</v>
      </c>
      <c r="AO58" s="207" t="e">
        <f aca="false">AN58*10</f>
        <v>#N/A</v>
      </c>
      <c r="AQ58" s="207" t="e">
        <f aca="false">AQ57+AJ58</f>
        <v>#N/A</v>
      </c>
      <c r="AR58" s="207" t="e">
        <f aca="false">AR57+AK58</f>
        <v>#N/A</v>
      </c>
      <c r="AS58" s="207" t="e">
        <f aca="false">AQ58-AR58</f>
        <v>#N/A</v>
      </c>
      <c r="AU58" s="210" t="n">
        <f aca="false">C58</f>
        <v>47</v>
      </c>
      <c r="AV58" s="212" t="n">
        <f aca="false">E58</f>
        <v>0</v>
      </c>
      <c r="AW58" s="212" t="e">
        <f aca="false">F58</f>
        <v>#N/A</v>
      </c>
      <c r="AX58" s="212" t="n">
        <f aca="false">G58</f>
        <v>0</v>
      </c>
      <c r="AY58" s="210" t="e">
        <f aca="false">H58+K58+N58+Q58+T58</f>
        <v>#N/A</v>
      </c>
      <c r="AZ58" s="210" t="e">
        <f aca="false">I58+L58+O58+R58-U58</f>
        <v>#N/A</v>
      </c>
      <c r="BA58" s="210" t="e">
        <f aca="false">J58+M58+P58+S58</f>
        <v>#N/A</v>
      </c>
      <c r="BF58" s="214" t="e">
        <f aca="false">VLOOKUP(C58-1,mix_electric,3,FALSE())</f>
        <v>#N/A</v>
      </c>
    </row>
    <row r="59" customFormat="false" ht="14.4" hidden="false" customHeight="false" outlineLevel="0" collapsed="false">
      <c r="B59" s="204" t="n">
        <v>48</v>
      </c>
      <c r="C59" s="205" t="n">
        <f aca="false">C58+1</f>
        <v>48</v>
      </c>
      <c r="D59" s="206" t="e">
        <f aca="false">VLOOKUP(C59-1,mix_electric,2,FALSE())</f>
        <v>#N/A</v>
      </c>
      <c r="E59" s="207" t="n">
        <f aca="false">'Emissions CO2'!$F$20</f>
        <v>0</v>
      </c>
      <c r="F59" s="207" t="e">
        <f aca="false">'Emissions CO2'!$F$22*IF(B59*$D$6&gt;1,1,B59*$D$6)*D59/'Factors d''emissió'!$C$7</f>
        <v>#N/A</v>
      </c>
      <c r="G59" s="207" t="n">
        <f aca="false">'Emissions CO2'!$F$26*$B$61*IF($D$6*B59&gt;1,0,$D$6)</f>
        <v>0</v>
      </c>
      <c r="H59" s="207" t="e">
        <f aca="false">'Emissions CO2'!$F$36*IF(B59*$D$6&gt;1,1,B59*$D$6)*(D59*'Factors d''emissió'!$C$34+'Factors d''emissió'!$C$35*'Factors d''emissió'!$C$10+'Factors d''emissió'!$C$36*'Factors d''emissió'!$C$11+'Factors d''emissió'!$C$37*'Factors d''emissió'!$C$12)</f>
        <v>#N/A</v>
      </c>
      <c r="I59" s="207" t="e">
        <f aca="false">(('Emissions CO2'!$G$47*D59)+('Emissions CO2'!$G$48*D59))*IF(B59*$D$6&gt;1,1,B59*$D$6)</f>
        <v>#N/A</v>
      </c>
      <c r="J59" s="207" t="e">
        <f aca="false">'Emissions CO2'!$F$61*IF(B59*$D$6&gt;1,1,B59*$D$6)*(1-BF59)/'Factors d''emissió'!$D$73</f>
        <v>#N/A</v>
      </c>
      <c r="K59" s="207" t="e">
        <f aca="false">'Emissions CO2'!$F$37*D59*IF(B59*$D$6&gt;1,1,B59*$D$6)</f>
        <v>#N/A</v>
      </c>
      <c r="L59" s="207" t="e">
        <f aca="false">(('Emissions CO2'!$G$49*D59)+('Emissions CO2'!$G$50*D59))*IF(B59*$D$6&gt;1,1,B59*$D$6)</f>
        <v>#N/A</v>
      </c>
      <c r="M59" s="207" t="e">
        <f aca="false">'Emissions CO2'!$F$62*IF(B59*$D$6&gt;1,1,B59*$D$6)*(1-BF59)/'Factors d''emissió'!$D$73</f>
        <v>#N/A</v>
      </c>
      <c r="N59" s="207" t="e">
        <f aca="false">'Emissions CO2'!$F$38*D59*IF(B59*$D$6&gt;1,1,B59*$D$6)</f>
        <v>#N/A</v>
      </c>
      <c r="O59" s="207" t="e">
        <f aca="false">(('Emissions CO2'!$G$51*D59)+('Emissions CO2'!$G$52*D59))*IF(B59*$D$6&gt;1,1,B59*$D$6)</f>
        <v>#N/A</v>
      </c>
      <c r="P59" s="207" t="e">
        <f aca="false">'Emissions CO2'!$F$63*IF(B59*$D$6&gt;1,1,B59*$D$6)*(1-BF59)/'Factors d''emissió'!$D$73</f>
        <v>#N/A</v>
      </c>
      <c r="Q59" s="207" t="e">
        <f aca="false">'Emissions CO2'!$F$39*IF(B59*$D$6&gt;1,1,B59*$D$6)*(D59*'Factors d''emissió'!$C$41+'Factors d''emissió'!$C$10*'Factors d''emissió'!$C$42+'Factors d''emissió'!$C$11*'Factors d''emissió'!$C$43+'Factors d''emissió'!$C$12*'Factors d''emissió'!$C$44)</f>
        <v>#N/A</v>
      </c>
      <c r="R59" s="207" t="e">
        <f aca="false">(('Emissions CO2'!$G$53*D59)+('Emissions CO2'!$G$54*D59))*IF(B59*$D$6&gt;1,1,B59*$D$6)</f>
        <v>#N/A</v>
      </c>
      <c r="S59" s="207" t="e">
        <f aca="false">'Emissions CO2'!$F$64*IF(B59*$D$6&gt;1,1,B59*$D$6)*(1-BF59)/'Factors d''emissió'!$D$73</f>
        <v>#N/A</v>
      </c>
      <c r="T59" s="208" t="e">
        <f aca="false">'Emissions CO2'!$F$40*D59</f>
        <v>#N/A</v>
      </c>
      <c r="U59" s="207" t="e">
        <f aca="false">(('Fixació CO2'!$F$14+'Fixació CO2'!$F$15)*D59*(1-'Factors d''emissió'!$E$55))*IF(B59*$D$6&gt;1,1,B59*$D$6)</f>
        <v>#N/A</v>
      </c>
      <c r="V59" s="207" t="n">
        <f aca="false">(((Dades!$E$135-Dades!$E$134)*Dades!$E$130+(Dades!$F$135-Dades!$F$134)*Dades!$F$130+(Dades!$E$143-Dades!$E$142)*Dades!$E$138+(Dades!$F$143-Dades!$F$142)*Dades!$F$138)*1000/5)+'Fixació CO2'!$F$21+'Fixació CO2'!$F$26*IF(B59*$D$6&gt;1,1,B59*$D$6)+(Dades!$F$121*('Factors d''emissió'!$C$154+('Factors d''emissió'!$C$156-'Factors d''emissió'!$C$154)*IF(B59*$D$6&gt;1,1,B59*$D$6))/10)+'Fixació CO2'!$F$22*IF(B59*$D$6&gt;1,1,B59*$D$6)</f>
        <v>0</v>
      </c>
      <c r="W59" s="207" t="e">
        <f aca="false">('Fixació CO2'!$F$40+'Fixació CO2'!$F$41+('Fixació CO2'!$F$39+'Fixació CO2'!$F$47+'Fixació CO2'!$F$48+'Fixació CO2'!$F$49)*IF(B59*$D$6&gt;1,1,B59*$D$6))*D59</f>
        <v>#N/A</v>
      </c>
      <c r="X59" s="207" t="n">
        <f aca="false">SUM('Fixació CO2'!$F$55:$F$57)</f>
        <v>0</v>
      </c>
      <c r="Y59" s="207" t="e">
        <f aca="false">(SUM(E59:T59)-U59)/1000</f>
        <v>#N/A</v>
      </c>
      <c r="Z59" s="207" t="e">
        <f aca="false">(V59+W59+X59)/1000</f>
        <v>#N/A</v>
      </c>
      <c r="AA59" s="207" t="e">
        <f aca="false">Y59-Z59</f>
        <v>#N/A</v>
      </c>
      <c r="AB59" s="207" t="e">
        <f aca="false">AA59*1000/ABS(Dades!$F$7)</f>
        <v>#N/A</v>
      </c>
      <c r="AC59" s="207" t="e">
        <f aca="false">AB59*10</f>
        <v>#N/A</v>
      </c>
      <c r="AD59" s="209"/>
      <c r="AE59" s="210" t="n">
        <f aca="false">C59</f>
        <v>48</v>
      </c>
      <c r="AF59" s="207" t="e">
        <f aca="false">AF58+Y59</f>
        <v>#N/A</v>
      </c>
      <c r="AG59" s="207" t="e">
        <f aca="false">AG58+Z59</f>
        <v>#N/A</v>
      </c>
      <c r="AH59" s="207" t="e">
        <f aca="false">AF59-AG59</f>
        <v>#N/A</v>
      </c>
      <c r="AJ59" s="207" t="e">
        <f aca="false">(SUM(E59:T59)-U59-F59-G59)/1000</f>
        <v>#N/A</v>
      </c>
      <c r="AK59" s="207" t="e">
        <f aca="false">(V59+W59+X59)/1000</f>
        <v>#N/A</v>
      </c>
      <c r="AL59" s="211"/>
      <c r="AM59" s="207" t="e">
        <f aca="false">AJ59-AK59</f>
        <v>#N/A</v>
      </c>
      <c r="AN59" s="207" t="e">
        <f aca="false">AM59*1000/ABS(Dades!$F$7)</f>
        <v>#N/A</v>
      </c>
      <c r="AO59" s="207" t="e">
        <f aca="false">AN59*10</f>
        <v>#N/A</v>
      </c>
      <c r="AQ59" s="207" t="e">
        <f aca="false">AQ58+AJ59</f>
        <v>#N/A</v>
      </c>
      <c r="AR59" s="207" t="e">
        <f aca="false">AR58+AK59</f>
        <v>#N/A</v>
      </c>
      <c r="AS59" s="207" t="e">
        <f aca="false">AQ59-AR59</f>
        <v>#N/A</v>
      </c>
      <c r="AU59" s="210" t="n">
        <f aca="false">C59</f>
        <v>48</v>
      </c>
      <c r="AV59" s="212" t="n">
        <f aca="false">E59</f>
        <v>0</v>
      </c>
      <c r="AW59" s="212" t="e">
        <f aca="false">F59</f>
        <v>#N/A</v>
      </c>
      <c r="AX59" s="212" t="n">
        <f aca="false">G59</f>
        <v>0</v>
      </c>
      <c r="AY59" s="210" t="e">
        <f aca="false">H59+K59+N59+Q59+T59</f>
        <v>#N/A</v>
      </c>
      <c r="AZ59" s="210" t="e">
        <f aca="false">I59+L59+O59+R59-U59</f>
        <v>#N/A</v>
      </c>
      <c r="BA59" s="210" t="e">
        <f aca="false">J59+M59+P59+S59</f>
        <v>#N/A</v>
      </c>
      <c r="BF59" s="214" t="e">
        <f aca="false">VLOOKUP(C59-1,mix_electric,3,FALSE())</f>
        <v>#N/A</v>
      </c>
    </row>
    <row r="60" customFormat="false" ht="14.4" hidden="false" customHeight="false" outlineLevel="0" collapsed="false">
      <c r="B60" s="204" t="n">
        <v>49</v>
      </c>
      <c r="C60" s="205" t="n">
        <f aca="false">C59+1</f>
        <v>49</v>
      </c>
      <c r="D60" s="206" t="e">
        <f aca="false">VLOOKUP(C60-1,mix_electric,2,FALSE())</f>
        <v>#N/A</v>
      </c>
      <c r="E60" s="207" t="n">
        <f aca="false">'Emissions CO2'!$F$20</f>
        <v>0</v>
      </c>
      <c r="F60" s="207" t="e">
        <f aca="false">'Emissions CO2'!$F$22*IF(B60*$D$6&gt;1,1,B60*$D$6)*D60/'Factors d''emissió'!$C$7</f>
        <v>#N/A</v>
      </c>
      <c r="G60" s="207" t="n">
        <f aca="false">'Emissions CO2'!$F$26*$B$61*IF($D$6*B60&gt;1,0,$D$6)</f>
        <v>0</v>
      </c>
      <c r="H60" s="207" t="e">
        <f aca="false">'Emissions CO2'!$F$36*IF(B60*$D$6&gt;1,1,B60*$D$6)*(D60*'Factors d''emissió'!$C$34+'Factors d''emissió'!$C$35*'Factors d''emissió'!$C$10+'Factors d''emissió'!$C$36*'Factors d''emissió'!$C$11+'Factors d''emissió'!$C$37*'Factors d''emissió'!$C$12)</f>
        <v>#N/A</v>
      </c>
      <c r="I60" s="207" t="e">
        <f aca="false">(('Emissions CO2'!$G$47*D60)+('Emissions CO2'!$G$48*D60))*IF(B60*$D$6&gt;1,1,B60*$D$6)</f>
        <v>#N/A</v>
      </c>
      <c r="J60" s="207" t="e">
        <f aca="false">'Emissions CO2'!$F$61*IF(B60*$D$6&gt;1,1,B60*$D$6)*(1-BF60)/'Factors d''emissió'!$D$73</f>
        <v>#N/A</v>
      </c>
      <c r="K60" s="207" t="e">
        <f aca="false">'Emissions CO2'!$F$37*D60*IF(B60*$D$6&gt;1,1,B60*$D$6)</f>
        <v>#N/A</v>
      </c>
      <c r="L60" s="207" t="e">
        <f aca="false">(('Emissions CO2'!$G$49*D60)+('Emissions CO2'!$G$50*D60))*IF(B60*$D$6&gt;1,1,B60*$D$6)</f>
        <v>#N/A</v>
      </c>
      <c r="M60" s="207" t="e">
        <f aca="false">'Emissions CO2'!$F$62*IF(B60*$D$6&gt;1,1,B60*$D$6)*(1-BF60)/'Factors d''emissió'!$D$73</f>
        <v>#N/A</v>
      </c>
      <c r="N60" s="207" t="e">
        <f aca="false">'Emissions CO2'!$F$38*D60*IF(B60*$D$6&gt;1,1,B60*$D$6)</f>
        <v>#N/A</v>
      </c>
      <c r="O60" s="207" t="e">
        <f aca="false">(('Emissions CO2'!$G$51*D60)+('Emissions CO2'!$G$52*D60))*IF(B60*$D$6&gt;1,1,B60*$D$6)</f>
        <v>#N/A</v>
      </c>
      <c r="P60" s="207" t="e">
        <f aca="false">'Emissions CO2'!$F$63*IF(B60*$D$6&gt;1,1,B60*$D$6)*(1-BF60)/'Factors d''emissió'!$D$73</f>
        <v>#N/A</v>
      </c>
      <c r="Q60" s="207" t="e">
        <f aca="false">'Emissions CO2'!$F$39*IF(B60*$D$6&gt;1,1,B60*$D$6)*(D60*'Factors d''emissió'!$C$41+'Factors d''emissió'!$C$10*'Factors d''emissió'!$C$42+'Factors d''emissió'!$C$11*'Factors d''emissió'!$C$43+'Factors d''emissió'!$C$12*'Factors d''emissió'!$C$44)</f>
        <v>#N/A</v>
      </c>
      <c r="R60" s="207" t="e">
        <f aca="false">(('Emissions CO2'!$G$53*D60)+('Emissions CO2'!$G$54*D60))*IF(B60*$D$6&gt;1,1,B60*$D$6)</f>
        <v>#N/A</v>
      </c>
      <c r="S60" s="207" t="e">
        <f aca="false">'Emissions CO2'!$F$64*IF(B60*$D$6&gt;1,1,B60*$D$6)*(1-BF60)/'Factors d''emissió'!$D$73</f>
        <v>#N/A</v>
      </c>
      <c r="T60" s="208" t="e">
        <f aca="false">'Emissions CO2'!$F$40*D60</f>
        <v>#N/A</v>
      </c>
      <c r="U60" s="207" t="e">
        <f aca="false">(('Fixació CO2'!$F$14+'Fixació CO2'!$F$15)*D60*(1-'Factors d''emissió'!$E$55))*IF(B60*$D$6&gt;1,1,B60*$D$6)</f>
        <v>#N/A</v>
      </c>
      <c r="V60" s="207" t="n">
        <f aca="false">(((Dades!$E$135-Dades!$E$134)*Dades!$E$130+(Dades!$F$135-Dades!$F$134)*Dades!$F$130+(Dades!$E$143-Dades!$E$142)*Dades!$E$138+(Dades!$F$143-Dades!$F$142)*Dades!$F$138)*1000/5)+'Fixació CO2'!$F$21+'Fixació CO2'!$F$26*IF(B60*$D$6&gt;1,1,B60*$D$6)+(Dades!$F$121*('Factors d''emissió'!$C$154+('Factors d''emissió'!$C$156-'Factors d''emissió'!$C$154)*IF(B60*$D$6&gt;1,1,B60*$D$6))/10)+'Fixació CO2'!$F$22*IF(B60*$D$6&gt;1,1,B60*$D$6)</f>
        <v>0</v>
      </c>
      <c r="W60" s="207" t="e">
        <f aca="false">('Fixació CO2'!$F$40+'Fixació CO2'!$F$41+('Fixació CO2'!$F$39+'Fixació CO2'!$F$47+'Fixació CO2'!$F$48+'Fixació CO2'!$F$49)*IF(B60*$D$6&gt;1,1,B60*$D$6))*D60</f>
        <v>#N/A</v>
      </c>
      <c r="X60" s="207" t="n">
        <f aca="false">SUM('Fixació CO2'!$F$55:$F$57)</f>
        <v>0</v>
      </c>
      <c r="Y60" s="207" t="e">
        <f aca="false">(SUM(E60:T60)-U60)/1000</f>
        <v>#N/A</v>
      </c>
      <c r="Z60" s="207" t="e">
        <f aca="false">(V60+W60+X60)/1000</f>
        <v>#N/A</v>
      </c>
      <c r="AA60" s="207" t="e">
        <f aca="false">Y60-Z60</f>
        <v>#N/A</v>
      </c>
      <c r="AB60" s="207" t="e">
        <f aca="false">AA60*1000/ABS(Dades!$F$7)</f>
        <v>#N/A</v>
      </c>
      <c r="AC60" s="207" t="e">
        <f aca="false">AB60*10</f>
        <v>#N/A</v>
      </c>
      <c r="AD60" s="209"/>
      <c r="AE60" s="210" t="n">
        <f aca="false">C60</f>
        <v>49</v>
      </c>
      <c r="AF60" s="207" t="e">
        <f aca="false">AF59+Y60</f>
        <v>#N/A</v>
      </c>
      <c r="AG60" s="207" t="e">
        <f aca="false">AG59+Z60</f>
        <v>#N/A</v>
      </c>
      <c r="AH60" s="207" t="e">
        <f aca="false">AF60-AG60</f>
        <v>#N/A</v>
      </c>
      <c r="AJ60" s="207" t="e">
        <f aca="false">(SUM(E60:T60)-U60-F60-G60)/1000</f>
        <v>#N/A</v>
      </c>
      <c r="AK60" s="207" t="e">
        <f aca="false">(V60+W60+X60)/1000</f>
        <v>#N/A</v>
      </c>
      <c r="AL60" s="211"/>
      <c r="AM60" s="207" t="e">
        <f aca="false">AJ60-AK60</f>
        <v>#N/A</v>
      </c>
      <c r="AN60" s="207" t="e">
        <f aca="false">AM60*1000/ABS(Dades!$F$7)</f>
        <v>#N/A</v>
      </c>
      <c r="AO60" s="207" t="e">
        <f aca="false">AN60*10</f>
        <v>#N/A</v>
      </c>
      <c r="AQ60" s="207" t="e">
        <f aca="false">AQ59+AJ60</f>
        <v>#N/A</v>
      </c>
      <c r="AR60" s="207" t="e">
        <f aca="false">AR59+AK60</f>
        <v>#N/A</v>
      </c>
      <c r="AS60" s="207" t="e">
        <f aca="false">AQ60-AR60</f>
        <v>#N/A</v>
      </c>
      <c r="AU60" s="210" t="n">
        <f aca="false">C60</f>
        <v>49</v>
      </c>
      <c r="AV60" s="212" t="n">
        <f aca="false">E60</f>
        <v>0</v>
      </c>
      <c r="AW60" s="212" t="e">
        <f aca="false">F60</f>
        <v>#N/A</v>
      </c>
      <c r="AX60" s="212" t="n">
        <f aca="false">G60</f>
        <v>0</v>
      </c>
      <c r="AY60" s="210" t="e">
        <f aca="false">H60+K60+N60+Q60+T60</f>
        <v>#N/A</v>
      </c>
      <c r="AZ60" s="210" t="e">
        <f aca="false">I60+L60+O60+R60-U60</f>
        <v>#N/A</v>
      </c>
      <c r="BA60" s="210" t="e">
        <f aca="false">J60+M60+P60+S60</f>
        <v>#N/A</v>
      </c>
      <c r="BF60" s="214" t="e">
        <f aca="false">VLOOKUP(C60-1,mix_electric,3,FALSE())</f>
        <v>#N/A</v>
      </c>
    </row>
    <row r="61" customFormat="false" ht="14.4" hidden="false" customHeight="false" outlineLevel="0" collapsed="false">
      <c r="B61" s="204" t="n">
        <v>50</v>
      </c>
      <c r="C61" s="205" t="n">
        <f aca="false">C60+1</f>
        <v>50</v>
      </c>
      <c r="D61" s="206" t="e">
        <f aca="false">VLOOKUP(C61-1,mix_electric,2,FALSE())</f>
        <v>#N/A</v>
      </c>
      <c r="E61" s="207" t="n">
        <f aca="false">'Emissions CO2'!$F$20</f>
        <v>0</v>
      </c>
      <c r="F61" s="207" t="e">
        <f aca="false">'Emissions CO2'!$F$22*IF(B61*$D$6&gt;1,1,B61*$D$6)*D61/'Factors d''emissió'!$C$7</f>
        <v>#N/A</v>
      </c>
      <c r="G61" s="207" t="n">
        <f aca="false">'Emissions CO2'!$F$26*$B$61*IF($D$6*B61&gt;1,0,$D$6)</f>
        <v>0</v>
      </c>
      <c r="H61" s="207" t="e">
        <f aca="false">'Emissions CO2'!$F$36*IF(B61*$D$6&gt;1,1,B61*$D$6)*(D61*'Factors d''emissió'!$C$34+'Factors d''emissió'!$C$35*'Factors d''emissió'!$C$10+'Factors d''emissió'!$C$36*'Factors d''emissió'!$C$11+'Factors d''emissió'!$C$37*'Factors d''emissió'!$C$12)</f>
        <v>#N/A</v>
      </c>
      <c r="I61" s="207" t="e">
        <f aca="false">(('Emissions CO2'!$G$47*D61)+('Emissions CO2'!$G$48*D61))*IF(B61*$D$6&gt;1,1,B61*$D$6)</f>
        <v>#N/A</v>
      </c>
      <c r="J61" s="207" t="e">
        <f aca="false">'Emissions CO2'!$F$61*IF(B61*$D$6&gt;1,1,B61*$D$6)*(1-BF61)/'Factors d''emissió'!$D$73</f>
        <v>#N/A</v>
      </c>
      <c r="K61" s="207" t="e">
        <f aca="false">'Emissions CO2'!$F$37*D61*IF(B61*$D$6&gt;1,1,B61*$D$6)</f>
        <v>#N/A</v>
      </c>
      <c r="L61" s="207" t="e">
        <f aca="false">(('Emissions CO2'!$G$49*D61)+('Emissions CO2'!$G$50*D61))*IF(B61*$D$6&gt;1,1,B61*$D$6)</f>
        <v>#N/A</v>
      </c>
      <c r="M61" s="207" t="e">
        <f aca="false">'Emissions CO2'!$F$62*IF(B61*$D$6&gt;1,1,B61*$D$6)*(1-BF61)/'Factors d''emissió'!$D$73</f>
        <v>#N/A</v>
      </c>
      <c r="N61" s="207" t="e">
        <f aca="false">'Emissions CO2'!$F$38*D61*IF(B61*$D$6&gt;1,1,B61*$D$6)</f>
        <v>#N/A</v>
      </c>
      <c r="O61" s="207" t="e">
        <f aca="false">(('Emissions CO2'!$G$51*D61)+('Emissions CO2'!$G$52*D61))*IF(B61*$D$6&gt;1,1,B61*$D$6)</f>
        <v>#N/A</v>
      </c>
      <c r="P61" s="207" t="e">
        <f aca="false">'Emissions CO2'!$F$63*IF(B61*$D$6&gt;1,1,B61*$D$6)*(1-BF61)/'Factors d''emissió'!$D$73</f>
        <v>#N/A</v>
      </c>
      <c r="Q61" s="207" t="e">
        <f aca="false">'Emissions CO2'!$F$39*IF(B61*$D$6&gt;1,1,B61*$D$6)*(D61*'Factors d''emissió'!$C$41+'Factors d''emissió'!$C$10*'Factors d''emissió'!$C$42+'Factors d''emissió'!$C$11*'Factors d''emissió'!$C$43+'Factors d''emissió'!$C$12*'Factors d''emissió'!$C$44)</f>
        <v>#N/A</v>
      </c>
      <c r="R61" s="207" t="e">
        <f aca="false">(('Emissions CO2'!$G$53*D61)+('Emissions CO2'!$G$54*D61))*IF(B61*$D$6&gt;1,1,B61*$D$6)</f>
        <v>#N/A</v>
      </c>
      <c r="S61" s="207" t="e">
        <f aca="false">'Emissions CO2'!$F$64*IF(B61*$D$6&gt;1,1,B61*$D$6)*(1-BF61)/'Factors d''emissió'!$D$73</f>
        <v>#N/A</v>
      </c>
      <c r="T61" s="208" t="e">
        <f aca="false">'Emissions CO2'!$F$40*D61</f>
        <v>#N/A</v>
      </c>
      <c r="U61" s="207" t="e">
        <f aca="false">(('Fixació CO2'!$F$14+'Fixació CO2'!$F$15)*D61*(1-'Factors d''emissió'!$E$55))*IF(B61*$D$6&gt;1,1,B61*$D$6)</f>
        <v>#N/A</v>
      </c>
      <c r="V61" s="207" t="n">
        <f aca="false">(((Dades!$E$135-Dades!$E$134)*Dades!$E$130+(Dades!$F$135-Dades!$F$134)*Dades!$F$130+(Dades!$E$143-Dades!$E$142)*Dades!$E$138+(Dades!$F$143-Dades!$F$142)*Dades!$F$138)*1000/5)+'Fixació CO2'!$F$21+'Fixació CO2'!$F$26*IF(B61*$D$6&gt;1,1,B61*$D$6)+(Dades!$F$121*('Factors d''emissió'!$C$154+('Factors d''emissió'!$C$156-'Factors d''emissió'!$C$154)*IF(B61*$D$6&gt;1,1,B61*$D$6))/10)+'Fixació CO2'!$F$22*IF(B61*$D$6&gt;1,1,B61*$D$6)</f>
        <v>0</v>
      </c>
      <c r="W61" s="207" t="e">
        <f aca="false">('Fixació CO2'!$F$40+'Fixació CO2'!$F$41+('Fixació CO2'!$F$39+'Fixació CO2'!$F$47+'Fixació CO2'!$F$48+'Fixació CO2'!$F$49)*IF(B61*$D$6&gt;1,1,B61*$D$6))*D61</f>
        <v>#N/A</v>
      </c>
      <c r="X61" s="207" t="n">
        <f aca="false">SUM('Fixació CO2'!$F$55:$F$57)</f>
        <v>0</v>
      </c>
      <c r="Y61" s="207" t="e">
        <f aca="false">(SUM(E61:T61)-U61)/1000</f>
        <v>#N/A</v>
      </c>
      <c r="Z61" s="207" t="e">
        <f aca="false">(V61+W61+X61)/1000</f>
        <v>#N/A</v>
      </c>
      <c r="AA61" s="207" t="e">
        <f aca="false">Y61-Z61</f>
        <v>#N/A</v>
      </c>
      <c r="AB61" s="207" t="e">
        <f aca="false">AA61*1000/ABS(Dades!$F$7)</f>
        <v>#N/A</v>
      </c>
      <c r="AC61" s="207" t="e">
        <f aca="false">AB61*10</f>
        <v>#N/A</v>
      </c>
      <c r="AD61" s="209"/>
      <c r="AE61" s="210" t="n">
        <f aca="false">C61</f>
        <v>50</v>
      </c>
      <c r="AF61" s="207" t="e">
        <f aca="false">AF60+Y61</f>
        <v>#N/A</v>
      </c>
      <c r="AG61" s="207" t="e">
        <f aca="false">AG60+Z61</f>
        <v>#N/A</v>
      </c>
      <c r="AH61" s="207" t="e">
        <f aca="false">AF61-AG61</f>
        <v>#N/A</v>
      </c>
      <c r="AJ61" s="207" t="e">
        <f aca="false">(SUM(E61:T61)-U61-F61-G61)/1000</f>
        <v>#N/A</v>
      </c>
      <c r="AK61" s="207" t="e">
        <f aca="false">(V61+W61+X61)/1000</f>
        <v>#N/A</v>
      </c>
      <c r="AL61" s="211"/>
      <c r="AM61" s="207" t="e">
        <f aca="false">AJ61-AK61</f>
        <v>#N/A</v>
      </c>
      <c r="AN61" s="207" t="e">
        <f aca="false">AM61*1000/ABS(Dades!$F$7)</f>
        <v>#N/A</v>
      </c>
      <c r="AO61" s="207" t="e">
        <f aca="false">AN61*10</f>
        <v>#N/A</v>
      </c>
      <c r="AQ61" s="207" t="e">
        <f aca="false">AQ60+AJ61</f>
        <v>#N/A</v>
      </c>
      <c r="AR61" s="207" t="e">
        <f aca="false">AR60+AK61</f>
        <v>#N/A</v>
      </c>
      <c r="AS61" s="207" t="e">
        <f aca="false">AQ61-AR61</f>
        <v>#N/A</v>
      </c>
      <c r="AU61" s="210" t="n">
        <f aca="false">C61</f>
        <v>50</v>
      </c>
      <c r="AV61" s="212" t="n">
        <f aca="false">E61</f>
        <v>0</v>
      </c>
      <c r="AW61" s="212" t="e">
        <f aca="false">F61</f>
        <v>#N/A</v>
      </c>
      <c r="AX61" s="212" t="n">
        <f aca="false">G61</f>
        <v>0</v>
      </c>
      <c r="AY61" s="210" t="e">
        <f aca="false">H61+K61+N61+Q61+T61</f>
        <v>#N/A</v>
      </c>
      <c r="AZ61" s="210" t="e">
        <f aca="false">I61+L61+O61+R61-U61</f>
        <v>#N/A</v>
      </c>
      <c r="BA61" s="210" t="e">
        <f aca="false">J61+M61+P61+S61</f>
        <v>#N/A</v>
      </c>
      <c r="BF61" s="214" t="e">
        <f aca="false">VLOOKUP(C61-1,mix_electric,3,FALSE())</f>
        <v>#N/A</v>
      </c>
    </row>
    <row r="62" customFormat="false" ht="14.4" hidden="false" customHeight="false" outlineLevel="0" collapsed="false">
      <c r="AV62" s="215" t="n">
        <f aca="false">SUM(AV12:AV61)</f>
        <v>0</v>
      </c>
      <c r="AW62" s="215" t="e">
        <f aca="false">SUM(AW12:AW61)</f>
        <v>#N/A</v>
      </c>
      <c r="AX62" s="215" t="n">
        <f aca="false">SUM(AX12:AX61)</f>
        <v>0</v>
      </c>
      <c r="AY62" s="1" t="e">
        <f aca="false">SUM(AY12:AY61)</f>
        <v>#N/A</v>
      </c>
      <c r="AZ62" s="1" t="e">
        <f aca="false">SUM(AZ12:AZ61)</f>
        <v>#N/A</v>
      </c>
      <c r="BA62" s="1" t="e">
        <f aca="false">SUM(BA12:BA61)</f>
        <v>#N/A</v>
      </c>
    </row>
    <row r="63" customFormat="false" ht="15.6" hidden="false" customHeight="false" outlineLevel="0" collapsed="false">
      <c r="AF63" s="216" t="s">
        <v>280</v>
      </c>
      <c r="AG63" s="217" t="e">
        <f aca="false">AH61</f>
        <v>#N/A</v>
      </c>
      <c r="AH63" s="218" t="s">
        <v>281</v>
      </c>
      <c r="AQ63" s="216" t="s">
        <v>280</v>
      </c>
      <c r="AR63" s="217" t="e">
        <f aca="false">AS61</f>
        <v>#N/A</v>
      </c>
      <c r="AS63" s="218" t="s">
        <v>281</v>
      </c>
    </row>
    <row r="64" customFormat="false" ht="15.6" hidden="false" customHeight="false" outlineLevel="0" collapsed="false">
      <c r="AF64" s="216" t="s">
        <v>282</v>
      </c>
      <c r="AG64" s="218" t="e">
        <f aca="false">10000*AH61/ABS(Dades!$F$7)</f>
        <v>#N/A</v>
      </c>
      <c r="AH64" s="218" t="s">
        <v>283</v>
      </c>
      <c r="AQ64" s="216" t="s">
        <v>282</v>
      </c>
      <c r="AR64" s="218" t="e">
        <f aca="false">10000*AS61/ABS(Dades!$F$7)</f>
        <v>#N/A</v>
      </c>
      <c r="AS64" s="218" t="s">
        <v>283</v>
      </c>
    </row>
    <row r="65" customFormat="false" ht="15.6" hidden="false" customHeight="false" outlineLevel="0" collapsed="false">
      <c r="AF65" s="219"/>
      <c r="AG65" s="218" t="e">
        <f aca="false">AG64/50</f>
        <v>#N/A</v>
      </c>
      <c r="AH65" s="218" t="s">
        <v>284</v>
      </c>
      <c r="AQ65" s="219"/>
      <c r="AR65" s="218" t="e">
        <f aca="false">AR64/50</f>
        <v>#N/A</v>
      </c>
      <c r="AS65" s="218" t="s">
        <v>284</v>
      </c>
    </row>
  </sheetData>
  <sheetProtection sheet="true" password="e929" objects="true" scenarios="true"/>
  <mergeCells count="25">
    <mergeCell ref="B2:G2"/>
    <mergeCell ref="C9:C11"/>
    <mergeCell ref="D9:D11"/>
    <mergeCell ref="E9:G10"/>
    <mergeCell ref="H9:T9"/>
    <mergeCell ref="U9:X9"/>
    <mergeCell ref="Y9:Y11"/>
    <mergeCell ref="Z9:Z11"/>
    <mergeCell ref="AA9:AA11"/>
    <mergeCell ref="AB9:AB11"/>
    <mergeCell ref="AC9:AC11"/>
    <mergeCell ref="AM9:AM11"/>
    <mergeCell ref="AN9:AN11"/>
    <mergeCell ref="AO9:AO11"/>
    <mergeCell ref="BF9:BF11"/>
    <mergeCell ref="H10:J10"/>
    <mergeCell ref="K10:M10"/>
    <mergeCell ref="N10:P10"/>
    <mergeCell ref="Q10:S10"/>
    <mergeCell ref="T10:T11"/>
    <mergeCell ref="U10:U11"/>
    <mergeCell ref="V10:V11"/>
    <mergeCell ref="W10:W11"/>
    <mergeCell ref="X10:X11"/>
    <mergeCell ref="BC11:BD11"/>
  </mergeCells>
  <dataValidations count="1">
    <dataValidation allowBlank="true" operator="equal" showDropDown="false" showErrorMessage="true" showInputMessage="false" sqref="BL12" type="list">
      <formula1>$AS$9:$AS$38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41" width="3.98"/>
    <col collapsed="false" customWidth="true" hidden="false" outlineLevel="0" max="2" min="2" style="141" width="23.42"/>
    <col collapsed="false" customWidth="true" hidden="false" outlineLevel="0" max="3" min="3" style="141" width="18.12"/>
    <col collapsed="false" customWidth="true" hidden="false" outlineLevel="0" max="4" min="4" style="141" width="19.57"/>
    <col collapsed="false" customWidth="true" hidden="false" outlineLevel="0" max="5" min="5" style="141" width="15.34"/>
    <col collapsed="false" customWidth="true" hidden="false" outlineLevel="0" max="6" min="6" style="141" width="15.11"/>
    <col collapsed="false" customWidth="true" hidden="false" outlineLevel="0" max="7" min="7" style="141" width="14.78"/>
    <col collapsed="false" customWidth="true" hidden="false" outlineLevel="0" max="8" min="8" style="141" width="14.01"/>
    <col collapsed="false" customWidth="true" hidden="false" outlineLevel="0" max="9" min="9" style="141" width="11.57"/>
    <col collapsed="false" customWidth="true" hidden="false" outlineLevel="0" max="10" min="10" style="141" width="12.89"/>
    <col collapsed="false" customWidth="true" hidden="false" outlineLevel="0" max="11" min="11" style="141" width="16.56"/>
    <col collapsed="false" customWidth="true" hidden="false" outlineLevel="0" max="1025" min="12" style="141" width="11.57"/>
  </cols>
  <sheetData>
    <row r="1" customFormat="false" ht="14.4" hidden="false" customHeight="false" outlineLevel="0" collapsed="false">
      <c r="A1" s="24"/>
      <c r="B1" s="24"/>
      <c r="C1" s="24"/>
      <c r="D1" s="24"/>
      <c r="E1" s="24"/>
      <c r="F1" s="24"/>
    </row>
    <row r="2" customFormat="false" ht="18.6" hidden="false" customHeight="false" outlineLevel="0" collapsed="false">
      <c r="A2" s="24"/>
      <c r="B2" s="220" t="s">
        <v>285</v>
      </c>
      <c r="C2" s="220"/>
      <c r="D2" s="220"/>
      <c r="E2" s="24"/>
      <c r="F2" s="24"/>
    </row>
    <row r="4" customFormat="false" ht="29.85" hidden="false" customHeight="true" outlineLevel="0" collapsed="false">
      <c r="B4" s="221" t="s">
        <v>286</v>
      </c>
      <c r="C4" s="222" t="n">
        <f aca="false">Dades!F25</f>
        <v>0</v>
      </c>
      <c r="D4" s="223"/>
      <c r="E4" s="223"/>
      <c r="F4" s="223"/>
      <c r="G4" s="223"/>
      <c r="H4" s="223"/>
    </row>
    <row r="5" customFormat="false" ht="33.15" hidden="false" customHeight="true" outlineLevel="0" collapsed="false">
      <c r="B5" s="221" t="s">
        <v>287</v>
      </c>
      <c r="C5" s="222" t="n">
        <f aca="false">Dades!F26</f>
        <v>0</v>
      </c>
      <c r="D5" s="223"/>
      <c r="E5" s="223"/>
      <c r="F5" s="223"/>
      <c r="G5" s="223"/>
      <c r="H5" s="223"/>
    </row>
    <row r="7" customFormat="false" ht="35.4" hidden="false" customHeight="true" outlineLevel="0" collapsed="false">
      <c r="B7" s="224"/>
      <c r="C7" s="225" t="s">
        <v>288</v>
      </c>
      <c r="H7" s="223"/>
    </row>
    <row r="8" customFormat="false" ht="14.4" hidden="false" customHeight="false" outlineLevel="0" collapsed="false">
      <c r="B8" s="225" t="s">
        <v>289</v>
      </c>
      <c r="C8" s="226" t="e">
        <f aca="false">VLOOKUP(Dades!F5,illa,3,FALSE())</f>
        <v>#N/A</v>
      </c>
      <c r="H8" s="223"/>
    </row>
    <row r="9" customFormat="false" ht="14.4" hidden="false" customHeight="false" outlineLevel="0" collapsed="false">
      <c r="B9" s="225" t="s">
        <v>290</v>
      </c>
      <c r="C9" s="226" t="e">
        <f aca="false">VLOOKUP(Dades!F5,illa,4,FALSE())</f>
        <v>#N/A</v>
      </c>
      <c r="H9" s="223"/>
    </row>
    <row r="10" customFormat="false" ht="14.4" hidden="false" customHeight="false" outlineLevel="0" collapsed="false">
      <c r="B10" s="223"/>
      <c r="C10" s="223"/>
      <c r="D10" s="223"/>
      <c r="E10" s="223"/>
      <c r="F10" s="223"/>
      <c r="G10" s="223"/>
    </row>
    <row r="11" customFormat="false" ht="14.4" hidden="false" customHeight="false" outlineLevel="0" collapsed="false">
      <c r="C11" s="227"/>
      <c r="D11" s="228" t="s">
        <v>291</v>
      </c>
      <c r="E11" s="227"/>
      <c r="F11" s="227"/>
      <c r="G11" s="227"/>
    </row>
    <row r="12" customFormat="false" ht="35.7" hidden="false" customHeight="true" outlineLevel="0" collapsed="false">
      <c r="B12" s="229"/>
      <c r="C12" s="230" t="s">
        <v>292</v>
      </c>
      <c r="D12" s="231" t="s">
        <v>293</v>
      </c>
      <c r="E12" s="232" t="s">
        <v>294</v>
      </c>
      <c r="J12" s="233" t="s">
        <v>295</v>
      </c>
      <c r="K12" s="233" t="s">
        <v>296</v>
      </c>
    </row>
    <row r="13" customFormat="false" ht="16.5" hidden="false" customHeight="true" outlineLevel="0" collapsed="false">
      <c r="B13" s="234" t="s">
        <v>297</v>
      </c>
      <c r="C13" s="235" t="n">
        <v>0.57</v>
      </c>
      <c r="D13" s="236" t="n">
        <v>0.36</v>
      </c>
      <c r="E13" s="237" t="n">
        <v>1.4</v>
      </c>
      <c r="I13" s="238" t="s">
        <v>98</v>
      </c>
      <c r="J13" s="239" t="n">
        <v>4.25</v>
      </c>
      <c r="K13" s="239" t="n">
        <v>4.7</v>
      </c>
    </row>
    <row r="14" customFormat="false" ht="20.1" hidden="false" customHeight="true" outlineLevel="0" collapsed="false">
      <c r="B14" s="234" t="s">
        <v>298</v>
      </c>
      <c r="C14" s="235" t="n">
        <v>0.084</v>
      </c>
      <c r="D14" s="236" t="n">
        <v>0.13</v>
      </c>
      <c r="E14" s="237" t="n">
        <v>20</v>
      </c>
      <c r="I14" s="238" t="s">
        <v>99</v>
      </c>
      <c r="J14" s="239" t="n">
        <v>2.5</v>
      </c>
      <c r="K14" s="239" t="n">
        <v>0.5</v>
      </c>
    </row>
    <row r="15" customFormat="false" ht="16.65" hidden="false" customHeight="false" outlineLevel="0" collapsed="false">
      <c r="B15" s="234" t="s">
        <v>299</v>
      </c>
      <c r="C15" s="235" t="n">
        <f aca="false">1-C13-C14</f>
        <v>0.346</v>
      </c>
      <c r="D15" s="236" t="n">
        <f aca="false">1-D13-D14</f>
        <v>0.51</v>
      </c>
      <c r="E15" s="240" t="s">
        <v>300</v>
      </c>
      <c r="F15" s="241"/>
      <c r="G15" s="241"/>
    </row>
    <row r="16" customFormat="false" ht="14.4" hidden="false" customHeight="false" outlineLevel="0" collapsed="false">
      <c r="F16" s="241"/>
      <c r="G16" s="241"/>
    </row>
    <row r="17" customFormat="false" ht="14.4" hidden="false" customHeight="false" outlineLevel="0" collapsed="false">
      <c r="F17" s="242"/>
      <c r="G17" s="242"/>
    </row>
    <row r="18" customFormat="false" ht="14.4" hidden="false" customHeight="false" outlineLevel="0" collapsed="false">
      <c r="B18" s="243" t="s">
        <v>301</v>
      </c>
      <c r="C18" s="244" t="s">
        <v>302</v>
      </c>
      <c r="D18" s="245" t="s">
        <v>303</v>
      </c>
      <c r="E18" s="246" t="s">
        <v>304</v>
      </c>
      <c r="F18" s="246" t="s">
        <v>305</v>
      </c>
      <c r="G18" s="246" t="s">
        <v>306</v>
      </c>
      <c r="H18" s="247" t="s">
        <v>307</v>
      </c>
      <c r="I18" s="247" t="s">
        <v>308</v>
      </c>
      <c r="J18" s="246" t="s">
        <v>309</v>
      </c>
      <c r="K18" s="248" t="s">
        <v>310</v>
      </c>
    </row>
    <row r="19" customFormat="false" ht="13.8" hidden="false" customHeight="false" outlineLevel="0" collapsed="false">
      <c r="B19" s="249" t="s">
        <v>96</v>
      </c>
      <c r="C19" s="250" t="n">
        <f aca="false">'Emissions CO2'!F12</f>
        <v>0</v>
      </c>
      <c r="D19" s="251" t="n">
        <v>10</v>
      </c>
      <c r="E19" s="252" t="n">
        <f aca="false">C19*D19/100</f>
        <v>0</v>
      </c>
      <c r="F19" s="253" t="e">
        <f aca="false">(E19*$C$13/($C$13+$C$14+$C$15))*($C$8/($C$8+$C$9))/$E$13</f>
        <v>#N/A</v>
      </c>
      <c r="G19" s="253" t="e">
        <f aca="false">(E19*$C$13/($C$13+$C$14+$C$15))*($C$9/($C$8+$C$9))</f>
        <v>#N/A</v>
      </c>
      <c r="H19" s="254" t="n">
        <v>0</v>
      </c>
      <c r="I19" s="254" t="n">
        <v>0</v>
      </c>
      <c r="J19" s="253" t="n">
        <f aca="false">(E19*$C$14)/($E$14*($C$13+$C$14+$C$15))</f>
        <v>0</v>
      </c>
      <c r="K19" s="255" t="n">
        <v>7</v>
      </c>
    </row>
    <row r="20" customFormat="false" ht="13.8" hidden="false" customHeight="false" outlineLevel="0" collapsed="false">
      <c r="B20" s="256" t="s">
        <v>311</v>
      </c>
      <c r="C20" s="257" t="n">
        <f aca="false">'Emissions CO2'!F13</f>
        <v>0</v>
      </c>
      <c r="D20" s="258"/>
      <c r="E20" s="259"/>
      <c r="F20" s="260"/>
      <c r="G20" s="260"/>
      <c r="H20" s="261"/>
      <c r="I20" s="261"/>
      <c r="J20" s="260"/>
      <c r="K20" s="262"/>
    </row>
    <row r="21" customFormat="false" ht="13.8" hidden="false" customHeight="false" outlineLevel="0" collapsed="false">
      <c r="B21" s="263" t="s">
        <v>312</v>
      </c>
      <c r="C21" s="257" t="n">
        <f aca="false">Dades!E53*C20</f>
        <v>0</v>
      </c>
      <c r="D21" s="258" t="n">
        <v>20</v>
      </c>
      <c r="E21" s="259" t="n">
        <f aca="false">C21*D21/100</f>
        <v>0</v>
      </c>
      <c r="F21" s="260" t="e">
        <f aca="false">(E21*$C$13/($C$13+$C$14+$C$15))*($C$8/($C$8+$C$9))/$E$13</f>
        <v>#N/A</v>
      </c>
      <c r="G21" s="260" t="e">
        <f aca="false">(E21*$C$13/($C$13+$C$14+$C$15))*($C$9/($C$8+$C$9))</f>
        <v>#N/A</v>
      </c>
      <c r="H21" s="261" t="n">
        <v>0</v>
      </c>
      <c r="I21" s="261" t="n">
        <v>0</v>
      </c>
      <c r="J21" s="260" t="n">
        <f aca="false">(E21*$C$14)/($E$14*($C$13+$C$14+$C$15))</f>
        <v>0</v>
      </c>
      <c r="K21" s="262" t="n">
        <v>7</v>
      </c>
    </row>
    <row r="22" customFormat="false" ht="16.5" hidden="false" customHeight="true" outlineLevel="0" collapsed="false">
      <c r="B22" s="263" t="s">
        <v>31</v>
      </c>
      <c r="C22" s="257" t="n">
        <f aca="false">Dades!F53*C20</f>
        <v>0</v>
      </c>
      <c r="D22" s="258" t="n">
        <v>20</v>
      </c>
      <c r="E22" s="259" t="n">
        <f aca="false">C22*D22/100</f>
        <v>0</v>
      </c>
      <c r="F22" s="260" t="e">
        <f aca="false">(E22*$C$13/($C$13+$C$14+$C$15))*($C$8/($C$8+$C$9))/$E$13</f>
        <v>#N/A</v>
      </c>
      <c r="G22" s="260" t="e">
        <f aca="false">(E22*$C$13/($C$13+$C$14+$C$15))*($C$9/($C$8+$C$9))</f>
        <v>#N/A</v>
      </c>
      <c r="H22" s="261" t="n">
        <v>0</v>
      </c>
      <c r="I22" s="261" t="n">
        <v>0</v>
      </c>
      <c r="J22" s="260" t="n">
        <f aca="false">(E22*$C$14)/($E$14*($C$13+$C$14+$C$15))</f>
        <v>0</v>
      </c>
      <c r="K22" s="262" t="n">
        <v>7</v>
      </c>
    </row>
    <row r="23" customFormat="false" ht="13.8" hidden="false" customHeight="false" outlineLevel="0" collapsed="false">
      <c r="B23" s="256" t="s">
        <v>98</v>
      </c>
      <c r="C23" s="257" t="n">
        <f aca="false">'Emissions CO2'!F14</f>
        <v>0</v>
      </c>
      <c r="D23" s="258"/>
      <c r="E23" s="259"/>
      <c r="F23" s="260"/>
      <c r="G23" s="260"/>
      <c r="H23" s="261"/>
      <c r="I23" s="261"/>
      <c r="J23" s="260"/>
      <c r="K23" s="262"/>
    </row>
    <row r="24" customFormat="false" ht="13.8" hidden="false" customHeight="false" outlineLevel="0" collapsed="false">
      <c r="B24" s="263" t="s">
        <v>313</v>
      </c>
      <c r="C24" s="257" t="n">
        <f aca="false">Dades!E70*C23</f>
        <v>0</v>
      </c>
      <c r="D24" s="258" t="n">
        <v>5</v>
      </c>
      <c r="E24" s="259" t="n">
        <f aca="false">C24*D24/100</f>
        <v>0</v>
      </c>
      <c r="F24" s="260" t="e">
        <f aca="false">(E24*$C$13/($C$13+$C$14+$C$15))*($C$8/($C$8+$C$9))/$E$13</f>
        <v>#N/A</v>
      </c>
      <c r="G24" s="260" t="e">
        <f aca="false">(E24*$C$13/($C$13+$C$14+$C$15))*($C$9/($C$8+$C$9))</f>
        <v>#N/A</v>
      </c>
      <c r="H24" s="261" t="n">
        <f aca="false">C24*J13/1000</f>
        <v>0</v>
      </c>
      <c r="I24" s="261" t="n">
        <f aca="false">C24*K13/1000</f>
        <v>0</v>
      </c>
      <c r="J24" s="260" t="n">
        <f aca="false">(E24*$C$14)/($E$14*($C$13+$C$14+$C$15))</f>
        <v>0</v>
      </c>
      <c r="K24" s="262" t="n">
        <v>5</v>
      </c>
    </row>
    <row r="25" customFormat="false" ht="13.8" hidden="false" customHeight="false" outlineLevel="0" collapsed="false">
      <c r="B25" s="263" t="s">
        <v>314</v>
      </c>
      <c r="C25" s="257" t="n">
        <f aca="false">Dades!F70*C23</f>
        <v>0</v>
      </c>
      <c r="D25" s="258" t="n">
        <v>5</v>
      </c>
      <c r="E25" s="259" t="n">
        <f aca="false">C25*D25/100</f>
        <v>0</v>
      </c>
      <c r="F25" s="260" t="e">
        <f aca="false">(E25*$C$13/($C$13+$C$14+$C$15))*($C$8/($C$8+$C$9))/$E$13</f>
        <v>#N/A</v>
      </c>
      <c r="G25" s="260" t="e">
        <f aca="false">(E25*$C$13/($C$13+$C$14+$C$15))*($C$9/($C$8+$C$9))</f>
        <v>#N/A</v>
      </c>
      <c r="H25" s="261" t="n">
        <f aca="false">C24*J13/1000</f>
        <v>0</v>
      </c>
      <c r="I25" s="261" t="n">
        <f aca="false">C24*K13/1000</f>
        <v>0</v>
      </c>
      <c r="J25" s="260" t="n">
        <f aca="false">(E25*$C$14)/($E$14*($C$13+$C$14+$C$15))</f>
        <v>0</v>
      </c>
      <c r="K25" s="262" t="n">
        <v>5</v>
      </c>
    </row>
    <row r="26" customFormat="false" ht="13.8" hidden="false" customHeight="false" outlineLevel="0" collapsed="false">
      <c r="B26" s="256" t="s">
        <v>99</v>
      </c>
      <c r="C26" s="257" t="n">
        <f aca="false">'Emissions CO2'!F15</f>
        <v>0</v>
      </c>
      <c r="D26" s="258"/>
      <c r="E26" s="259"/>
      <c r="F26" s="260"/>
      <c r="G26" s="260"/>
      <c r="H26" s="261"/>
      <c r="I26" s="261"/>
      <c r="J26" s="260"/>
      <c r="K26" s="262"/>
    </row>
    <row r="27" customFormat="false" ht="13.8" hidden="false" customHeight="false" outlineLevel="0" collapsed="false">
      <c r="B27" s="263" t="s">
        <v>40</v>
      </c>
      <c r="C27" s="257" t="n">
        <f aca="false">C26*Dades!E87</f>
        <v>0</v>
      </c>
      <c r="D27" s="258" t="n">
        <v>15</v>
      </c>
      <c r="E27" s="259" t="n">
        <f aca="false">C27*D27/100</f>
        <v>0</v>
      </c>
      <c r="F27" s="260" t="e">
        <f aca="false">(E27*$C$13/($C$13+$C$14+$C$15))*($C$8/($C$8+$C$9))/$E$13</f>
        <v>#N/A</v>
      </c>
      <c r="G27" s="260" t="e">
        <f aca="false">(E27*$C$13/($C$13+$C$14+$C$15))*($C$9/($C$8+$C$9))</f>
        <v>#N/A</v>
      </c>
      <c r="H27" s="261" t="n">
        <v>0</v>
      </c>
      <c r="I27" s="261" t="n">
        <v>0</v>
      </c>
      <c r="J27" s="260" t="n">
        <f aca="false">(E27*$C$14)/($E$14*($C$13+$C$14+$C$15))</f>
        <v>0</v>
      </c>
      <c r="K27" s="262" t="n">
        <v>5</v>
      </c>
    </row>
    <row r="28" customFormat="false" ht="13.8" hidden="false" customHeight="false" outlineLevel="0" collapsed="false">
      <c r="B28" s="264" t="s">
        <v>203</v>
      </c>
      <c r="C28" s="265" t="n">
        <f aca="false">C26*Dades!F87</f>
        <v>0</v>
      </c>
      <c r="D28" s="266" t="n">
        <v>50</v>
      </c>
      <c r="E28" s="267" t="n">
        <f aca="false">C28*D28/100</f>
        <v>0</v>
      </c>
      <c r="F28" s="268" t="e">
        <f aca="false">(E28*$C$13/($C$13+$C$14+$C$15))*($C$8/($C$8+$C$9))/$E$13</f>
        <v>#N/A</v>
      </c>
      <c r="G28" s="268" t="e">
        <f aca="false">(E28*$C$13/($C$13+$C$14+$C$15))*($C$9/($C$8+$C$9))</f>
        <v>#N/A</v>
      </c>
      <c r="H28" s="269" t="n">
        <f aca="false">C28*J14/1000</f>
        <v>0</v>
      </c>
      <c r="I28" s="269" t="n">
        <f aca="false">C28*K14/1000</f>
        <v>0</v>
      </c>
      <c r="J28" s="268" t="n">
        <f aca="false">(E28*$C$14)/($E$14*($C$13+$C$14+$C$15))</f>
        <v>0</v>
      </c>
      <c r="K28" s="270" t="n">
        <v>6</v>
      </c>
    </row>
    <row r="29" customFormat="false" ht="14.4" hidden="false" customHeight="false" outlineLevel="0" collapsed="false">
      <c r="B29" s="271"/>
      <c r="C29" s="223"/>
      <c r="D29" s="223"/>
      <c r="E29" s="272"/>
    </row>
    <row r="30" customFormat="false" ht="55.8" hidden="false" customHeight="false" outlineLevel="0" collapsed="false">
      <c r="E30" s="234" t="s">
        <v>315</v>
      </c>
      <c r="F30" s="273" t="n">
        <f aca="false">J39</f>
        <v>210.622912127091</v>
      </c>
      <c r="G30" s="273" t="n">
        <f aca="false">J46</f>
        <v>110.915</v>
      </c>
      <c r="H30" s="273" t="n">
        <f aca="false">J42</f>
        <v>285.21</v>
      </c>
      <c r="I30" s="273" t="n">
        <f aca="false">J44</f>
        <v>760.56</v>
      </c>
      <c r="J30" s="273" t="n">
        <f aca="false">J44</f>
        <v>760.56</v>
      </c>
    </row>
    <row r="31" customFormat="false" ht="48.9" hidden="false" customHeight="true" outlineLevel="0" collapsed="false">
      <c r="E31" s="234" t="s">
        <v>316</v>
      </c>
      <c r="F31" s="273" t="n">
        <f aca="false">(C4+C5)/2</f>
        <v>0</v>
      </c>
      <c r="G31" s="273" t="n">
        <f aca="false">C4</f>
        <v>0</v>
      </c>
      <c r="H31" s="274" t="n">
        <v>15</v>
      </c>
      <c r="I31" s="274" t="n">
        <v>15</v>
      </c>
      <c r="J31" s="273" t="n">
        <f aca="false">C5</f>
        <v>0</v>
      </c>
      <c r="K31" s="223"/>
    </row>
    <row r="32" customFormat="false" ht="48" hidden="false" customHeight="true" outlineLevel="0" collapsed="false">
      <c r="E32" s="234" t="s">
        <v>317</v>
      </c>
      <c r="F32" s="273" t="n">
        <f aca="false">F30*F31</f>
        <v>0</v>
      </c>
      <c r="G32" s="273" t="n">
        <f aca="false">G30*G31</f>
        <v>0</v>
      </c>
      <c r="H32" s="273" t="n">
        <f aca="false">H30*H31</f>
        <v>4278.15</v>
      </c>
      <c r="I32" s="273" t="n">
        <f aca="false">I30*I31</f>
        <v>11408.4</v>
      </c>
      <c r="J32" s="273" t="n">
        <f aca="false">J30*J31</f>
        <v>0</v>
      </c>
    </row>
    <row r="33" customFormat="false" ht="48.9" hidden="false" customHeight="true" outlineLevel="0" collapsed="false">
      <c r="E33" s="234" t="s">
        <v>318</v>
      </c>
      <c r="F33" s="273" t="e">
        <f aca="false">F32*52*(F19*K19+F21*K21+F22*K22+F24*K24+F25*K25+F27*K27+F28*K28)/1000000</f>
        <v>#N/A</v>
      </c>
      <c r="G33" s="273" t="e">
        <f aca="false">G32*52*(G19*K19+G21*K21+G22*K22+G24*K24+G25*K25+G27*K27+G28*K28)/1000000</f>
        <v>#N/A</v>
      </c>
      <c r="H33" s="273" t="n">
        <f aca="false">H32*52*(H19*K19+H21*K21+H22*K22+H24*K24+H25*K25+H27*K27+H28*K28)/1000000</f>
        <v>0</v>
      </c>
      <c r="I33" s="273" t="n">
        <f aca="false">I32*52*(I19*K19+I21*K21+I22*K22+I24*K24+I25*K25+I27*K27+I28*K28)/1000000</f>
        <v>0</v>
      </c>
      <c r="J33" s="273" t="n">
        <f aca="false">J32*52*(J19*K19+J21*K21+J22*K22+J24*K24+J25*K25+J27*K27+J28*K28)/1000000</f>
        <v>0</v>
      </c>
    </row>
    <row r="38" customFormat="false" ht="36.45" hidden="false" customHeight="true" outlineLevel="0" collapsed="false">
      <c r="B38" s="275" t="s">
        <v>319</v>
      </c>
      <c r="C38" s="275" t="s">
        <v>320</v>
      </c>
      <c r="D38" s="275" t="s">
        <v>321</v>
      </c>
      <c r="E38" s="275" t="s">
        <v>322</v>
      </c>
      <c r="F38" s="275" t="s">
        <v>323</v>
      </c>
      <c r="G38" s="275" t="s">
        <v>324</v>
      </c>
      <c r="H38" s="275" t="s">
        <v>325</v>
      </c>
      <c r="I38" s="275" t="s">
        <v>326</v>
      </c>
      <c r="J38" s="275" t="s">
        <v>327</v>
      </c>
    </row>
    <row r="39" customFormat="false" ht="14.4" hidden="false" customHeight="false" outlineLevel="0" collapsed="false">
      <c r="B39" s="276" t="s">
        <v>289</v>
      </c>
      <c r="C39" s="277" t="s">
        <v>328</v>
      </c>
      <c r="D39" s="277" t="n">
        <v>3.169</v>
      </c>
      <c r="E39" s="277" t="n">
        <v>0.015</v>
      </c>
      <c r="F39" s="277" t="n">
        <v>8.73</v>
      </c>
      <c r="G39" s="277" t="n">
        <v>0.03</v>
      </c>
      <c r="H39" s="277" t="n">
        <v>70</v>
      </c>
      <c r="I39" s="277" t="n">
        <f aca="false">D39*H39</f>
        <v>221.83</v>
      </c>
      <c r="J39" s="278" t="n">
        <f aca="false">(I39*475118+I40*256300+I41*2039)/733457</f>
        <v>210.622912127091</v>
      </c>
    </row>
    <row r="40" customFormat="false" ht="14.4" hidden="false" customHeight="false" outlineLevel="0" collapsed="false">
      <c r="B40" s="279"/>
      <c r="C40" s="277" t="s">
        <v>329</v>
      </c>
      <c r="D40" s="277" t="n">
        <v>3.169</v>
      </c>
      <c r="E40" s="277" t="n">
        <v>0.015</v>
      </c>
      <c r="F40" s="277" t="n">
        <v>12.96</v>
      </c>
      <c r="G40" s="277" t="n">
        <v>2.64</v>
      </c>
      <c r="H40" s="277" t="n">
        <v>60</v>
      </c>
      <c r="I40" s="277" t="n">
        <f aca="false">D40*H40</f>
        <v>190.14</v>
      </c>
      <c r="J40" s="278"/>
    </row>
    <row r="41" customFormat="false" ht="14.4" hidden="false" customHeight="false" outlineLevel="0" collapsed="false">
      <c r="B41" s="280"/>
      <c r="C41" s="277" t="s">
        <v>190</v>
      </c>
      <c r="D41" s="277" t="n">
        <v>3.024</v>
      </c>
      <c r="E41" s="277" t="n">
        <v>0</v>
      </c>
      <c r="F41" s="277" t="n">
        <v>15.2</v>
      </c>
      <c r="G41" s="277" t="n">
        <v>0</v>
      </c>
      <c r="H41" s="277" t="n">
        <v>57.5</v>
      </c>
      <c r="I41" s="277" t="n">
        <f aca="false">D41*H41</f>
        <v>173.88</v>
      </c>
      <c r="J41" s="278"/>
    </row>
    <row r="42" customFormat="false" ht="14.4" hidden="false" customHeight="false" outlineLevel="0" collapsed="false">
      <c r="B42" s="276" t="s">
        <v>330</v>
      </c>
      <c r="C42" s="277" t="s">
        <v>328</v>
      </c>
      <c r="D42" s="277" t="n">
        <v>3.169</v>
      </c>
      <c r="E42" s="277" t="n">
        <v>0.015</v>
      </c>
      <c r="F42" s="277" t="n">
        <v>13.22</v>
      </c>
      <c r="G42" s="277" t="n">
        <v>0.03</v>
      </c>
      <c r="H42" s="277" t="n">
        <v>100</v>
      </c>
      <c r="I42" s="277" t="n">
        <f aca="false">D42*H42</f>
        <v>316.9</v>
      </c>
      <c r="J42" s="278" t="n">
        <f aca="false">(I42+I43)/2</f>
        <v>285.21</v>
      </c>
    </row>
    <row r="43" customFormat="false" ht="14.4" hidden="false" customHeight="false" outlineLevel="0" collapsed="false">
      <c r="B43" s="280"/>
      <c r="C43" s="277" t="s">
        <v>329</v>
      </c>
      <c r="D43" s="277" t="n">
        <v>3.169</v>
      </c>
      <c r="E43" s="277" t="n">
        <v>0.015</v>
      </c>
      <c r="F43" s="277" t="n">
        <v>14.91</v>
      </c>
      <c r="G43" s="277" t="n">
        <v>2.99</v>
      </c>
      <c r="H43" s="277" t="n">
        <v>80</v>
      </c>
      <c r="I43" s="277" t="n">
        <f aca="false">D43*H43</f>
        <v>253.52</v>
      </c>
      <c r="J43" s="278"/>
    </row>
    <row r="44" customFormat="false" ht="14.4" hidden="false" customHeight="false" outlineLevel="0" collapsed="false">
      <c r="B44" s="276" t="s">
        <v>331</v>
      </c>
      <c r="C44" s="277" t="s">
        <v>329</v>
      </c>
      <c r="D44" s="277" t="n">
        <v>3.169</v>
      </c>
      <c r="E44" s="277" t="n">
        <v>0.015</v>
      </c>
      <c r="F44" s="277" t="n">
        <v>33.37</v>
      </c>
      <c r="G44" s="277" t="n">
        <v>1.57</v>
      </c>
      <c r="H44" s="277" t="n">
        <v>240</v>
      </c>
      <c r="I44" s="277" t="n">
        <f aca="false">D44*H44</f>
        <v>760.56</v>
      </c>
      <c r="J44" s="278" t="n">
        <f aca="false">I44</f>
        <v>760.56</v>
      </c>
    </row>
    <row r="45" customFormat="false" ht="14.4" hidden="false" customHeight="false" outlineLevel="0" collapsed="false">
      <c r="B45" s="280"/>
      <c r="C45" s="277" t="s">
        <v>332</v>
      </c>
      <c r="D45" s="277" t="n">
        <v>2.743</v>
      </c>
      <c r="E45" s="277" t="n">
        <v>0</v>
      </c>
      <c r="F45" s="277" t="n">
        <v>13</v>
      </c>
      <c r="G45" s="277" t="n">
        <v>0.04</v>
      </c>
      <c r="H45" s="277" t="n">
        <v>500</v>
      </c>
      <c r="I45" s="277" t="n">
        <f aca="false">D45*H45</f>
        <v>1371.5</v>
      </c>
      <c r="J45" s="278"/>
    </row>
    <row r="46" customFormat="false" ht="14.4" hidden="false" customHeight="false" outlineLevel="0" collapsed="false">
      <c r="B46" s="277" t="s">
        <v>290</v>
      </c>
      <c r="C46" s="277" t="s">
        <v>328</v>
      </c>
      <c r="D46" s="277" t="n">
        <v>3.169</v>
      </c>
      <c r="E46" s="277" t="n">
        <v>0.015</v>
      </c>
      <c r="F46" s="277" t="n">
        <v>6.64</v>
      </c>
      <c r="G46" s="277" t="n">
        <v>6.02</v>
      </c>
      <c r="H46" s="277" t="n">
        <v>35</v>
      </c>
      <c r="I46" s="277" t="n">
        <f aca="false">D46*H46</f>
        <v>110.915</v>
      </c>
      <c r="J46" s="278" t="n">
        <f aca="false">I46</f>
        <v>110.915</v>
      </c>
    </row>
  </sheetData>
  <sheetProtection sheet="true" password="e929" objects="true" scenarios="true"/>
  <mergeCells count="4">
    <mergeCell ref="B2:D2"/>
    <mergeCell ref="J39:J41"/>
    <mergeCell ref="J42:J43"/>
    <mergeCell ref="J44:J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69"/>
  <sheetViews>
    <sheetView showFormulas="false" showGridLines="true" showRowColHeaders="true" showZeros="true" rightToLeft="false" tabSelected="false" showOutlineSymbols="true" defaultGridColor="true" view="normal" topLeftCell="A28" colorId="64" zoomScale="85" zoomScaleNormal="85" zoomScalePageLayoutView="100" workbookViewId="0">
      <selection pane="topLeft" activeCell="K16" activeCellId="0" sqref="K16"/>
    </sheetView>
  </sheetViews>
  <sheetFormatPr defaultRowHeight="14.4" zeroHeight="false" outlineLevelRow="0" outlineLevelCol="0"/>
  <cols>
    <col collapsed="false" customWidth="true" hidden="false" outlineLevel="0" max="1" min="1" style="1" width="2.89"/>
    <col collapsed="false" customWidth="true" hidden="false" outlineLevel="0" max="2" min="2" style="1" width="29.78"/>
    <col collapsed="false" customWidth="true" hidden="false" outlineLevel="0" max="3" min="3" style="1" width="13.78"/>
    <col collapsed="false" customWidth="true" hidden="false" outlineLevel="0" max="4" min="4" style="1" width="16"/>
    <col collapsed="false" customWidth="true" hidden="false" outlineLevel="0" max="5" min="5" style="1" width="16.22"/>
    <col collapsed="false" customWidth="true" hidden="false" outlineLevel="0" max="1025" min="6" style="1" width="8.89"/>
  </cols>
  <sheetData>
    <row r="2" customFormat="false" ht="14.4" hidden="false" customHeight="false" outlineLevel="0" collapsed="false">
      <c r="B2" s="281" t="s">
        <v>333</v>
      </c>
      <c r="C2" s="281" t="s">
        <v>334</v>
      </c>
      <c r="D2" s="282" t="s">
        <v>335</v>
      </c>
      <c r="E2" s="282" t="s">
        <v>336</v>
      </c>
    </row>
    <row r="3" customFormat="false" ht="14.4" hidden="false" customHeight="false" outlineLevel="0" collapsed="false">
      <c r="B3" s="283" t="s">
        <v>337</v>
      </c>
      <c r="C3" s="283" t="s">
        <v>215</v>
      </c>
      <c r="D3" s="284" t="n">
        <v>6229</v>
      </c>
      <c r="E3" s="284" t="n">
        <v>946</v>
      </c>
    </row>
    <row r="4" customFormat="false" ht="14.4" hidden="false" customHeight="false" outlineLevel="0" collapsed="false">
      <c r="B4" s="283" t="s">
        <v>338</v>
      </c>
      <c r="C4" s="283" t="s">
        <v>214</v>
      </c>
      <c r="D4" s="284" t="n">
        <v>3427</v>
      </c>
      <c r="E4" s="284" t="n">
        <v>521</v>
      </c>
    </row>
    <row r="5" customFormat="false" ht="14.4" hidden="false" customHeight="false" outlineLevel="0" collapsed="false">
      <c r="B5" s="283" t="s">
        <v>339</v>
      </c>
      <c r="C5" s="283" t="s">
        <v>214</v>
      </c>
      <c r="D5" s="284" t="n">
        <v>12071</v>
      </c>
      <c r="E5" s="284" t="n">
        <v>2158</v>
      </c>
    </row>
    <row r="6" customFormat="false" ht="14.4" hidden="false" customHeight="false" outlineLevel="0" collapsed="false">
      <c r="B6" s="283" t="s">
        <v>340</v>
      </c>
      <c r="C6" s="283" t="s">
        <v>214</v>
      </c>
      <c r="D6" s="284" t="n">
        <v>3701</v>
      </c>
      <c r="E6" s="284" t="n">
        <v>581</v>
      </c>
    </row>
    <row r="7" customFormat="false" ht="14.4" hidden="false" customHeight="false" outlineLevel="0" collapsed="false">
      <c r="B7" s="283" t="s">
        <v>341</v>
      </c>
      <c r="C7" s="283" t="s">
        <v>214</v>
      </c>
      <c r="D7" s="284" t="n">
        <v>9089</v>
      </c>
      <c r="E7" s="284" t="n">
        <v>2086</v>
      </c>
    </row>
    <row r="8" customFormat="false" ht="14.4" hidden="false" customHeight="false" outlineLevel="0" collapsed="false">
      <c r="B8" s="283" t="s">
        <v>342</v>
      </c>
      <c r="C8" s="283" t="s">
        <v>214</v>
      </c>
      <c r="D8" s="284" t="n">
        <v>1059</v>
      </c>
      <c r="E8" s="284" t="n">
        <v>92</v>
      </c>
    </row>
    <row r="9" customFormat="false" ht="14.4" hidden="false" customHeight="false" outlineLevel="0" collapsed="false">
      <c r="B9" s="283" t="s">
        <v>343</v>
      </c>
      <c r="C9" s="283" t="s">
        <v>214</v>
      </c>
      <c r="D9" s="284" t="n">
        <v>5310</v>
      </c>
      <c r="E9" s="284" t="n">
        <v>1092</v>
      </c>
    </row>
    <row r="10" customFormat="false" ht="14.4" hidden="false" customHeight="false" outlineLevel="0" collapsed="false">
      <c r="B10" s="283" t="s">
        <v>344</v>
      </c>
      <c r="C10" s="283" t="s">
        <v>214</v>
      </c>
      <c r="D10" s="284" t="n">
        <v>391</v>
      </c>
      <c r="E10" s="284" t="n">
        <v>159</v>
      </c>
    </row>
    <row r="11" customFormat="false" ht="14.4" hidden="false" customHeight="false" outlineLevel="0" collapsed="false">
      <c r="B11" s="283" t="s">
        <v>345</v>
      </c>
      <c r="C11" s="283" t="s">
        <v>214</v>
      </c>
      <c r="D11" s="284" t="n">
        <v>4799</v>
      </c>
      <c r="E11" s="284" t="n">
        <v>708</v>
      </c>
    </row>
    <row r="12" customFormat="false" ht="14.4" hidden="false" customHeight="false" outlineLevel="0" collapsed="false">
      <c r="B12" s="283" t="s">
        <v>346</v>
      </c>
      <c r="C12" s="283" t="s">
        <v>214</v>
      </c>
      <c r="D12" s="284" t="n">
        <v>741</v>
      </c>
      <c r="E12" s="284" t="n">
        <v>155</v>
      </c>
    </row>
    <row r="13" customFormat="false" ht="14.4" hidden="false" customHeight="false" outlineLevel="0" collapsed="false">
      <c r="B13" s="283" t="s">
        <v>347</v>
      </c>
      <c r="C13" s="283" t="s">
        <v>214</v>
      </c>
      <c r="D13" s="284" t="n">
        <v>4504</v>
      </c>
      <c r="E13" s="284" t="n">
        <v>981</v>
      </c>
    </row>
    <row r="14" customFormat="false" ht="14.4" hidden="false" customHeight="false" outlineLevel="0" collapsed="false">
      <c r="B14" s="283" t="s">
        <v>348</v>
      </c>
      <c r="C14" s="283" t="s">
        <v>214</v>
      </c>
      <c r="D14" s="284" t="n">
        <v>39616</v>
      </c>
      <c r="E14" s="284" t="n">
        <v>5996</v>
      </c>
    </row>
    <row r="15" customFormat="false" ht="14.4" hidden="false" customHeight="false" outlineLevel="0" collapsed="false">
      <c r="B15" s="283" t="s">
        <v>349</v>
      </c>
      <c r="C15" s="283" t="s">
        <v>214</v>
      </c>
      <c r="D15" s="284" t="n">
        <v>1698</v>
      </c>
      <c r="E15" s="284" t="n">
        <v>284</v>
      </c>
    </row>
    <row r="16" customFormat="false" ht="14.4" hidden="false" customHeight="false" outlineLevel="0" collapsed="false">
      <c r="B16" s="283" t="s">
        <v>350</v>
      </c>
      <c r="C16" s="283" t="s">
        <v>214</v>
      </c>
      <c r="D16" s="284" t="n">
        <v>7776</v>
      </c>
      <c r="E16" s="284" t="n">
        <v>1349</v>
      </c>
    </row>
    <row r="17" customFormat="false" ht="14.4" hidden="false" customHeight="false" outlineLevel="0" collapsed="false">
      <c r="B17" s="283" t="s">
        <v>351</v>
      </c>
      <c r="C17" s="283" t="s">
        <v>214</v>
      </c>
      <c r="D17" s="284" t="n">
        <v>8869</v>
      </c>
      <c r="E17" s="284" t="n">
        <v>1509</v>
      </c>
    </row>
    <row r="18" customFormat="false" ht="14.4" hidden="false" customHeight="false" outlineLevel="0" collapsed="false">
      <c r="B18" s="283" t="s">
        <v>352</v>
      </c>
      <c r="C18" s="283" t="s">
        <v>215</v>
      </c>
      <c r="D18" s="284" t="n">
        <v>14766</v>
      </c>
      <c r="E18" s="284" t="n">
        <v>4166</v>
      </c>
    </row>
    <row r="19" customFormat="false" ht="14.4" hidden="false" customHeight="false" outlineLevel="0" collapsed="false">
      <c r="B19" s="283" t="s">
        <v>353</v>
      </c>
      <c r="C19" s="283" t="s">
        <v>214</v>
      </c>
      <c r="D19" s="284" t="n">
        <v>2528</v>
      </c>
      <c r="E19" s="284" t="n">
        <v>423</v>
      </c>
    </row>
    <row r="20" customFormat="false" ht="14.4" hidden="false" customHeight="false" outlineLevel="0" collapsed="false">
      <c r="B20" s="283" t="s">
        <v>354</v>
      </c>
      <c r="C20" s="283" t="s">
        <v>214</v>
      </c>
      <c r="D20" s="284" t="n">
        <v>813</v>
      </c>
      <c r="E20" s="284" t="n">
        <v>172</v>
      </c>
    </row>
    <row r="21" customFormat="false" ht="14.4" hidden="false" customHeight="false" outlineLevel="0" collapsed="false">
      <c r="B21" s="283" t="s">
        <v>355</v>
      </c>
      <c r="C21" s="283" t="s">
        <v>214</v>
      </c>
      <c r="D21" s="284" t="n">
        <v>580</v>
      </c>
      <c r="E21" s="284" t="n">
        <v>163</v>
      </c>
    </row>
    <row r="22" customFormat="false" ht="14.4" hidden="false" customHeight="false" outlineLevel="0" collapsed="false">
      <c r="B22" s="283" t="s">
        <v>216</v>
      </c>
      <c r="C22" s="283" t="s">
        <v>216</v>
      </c>
      <c r="D22" s="284" t="n">
        <v>31689</v>
      </c>
      <c r="E22" s="284" t="n">
        <v>10160</v>
      </c>
    </row>
    <row r="23" customFormat="false" ht="14.4" hidden="false" customHeight="false" outlineLevel="0" collapsed="false">
      <c r="B23" s="283" t="s">
        <v>356</v>
      </c>
      <c r="C23" s="283" t="s">
        <v>215</v>
      </c>
      <c r="D23" s="284" t="n">
        <v>4949</v>
      </c>
      <c r="E23" s="284" t="n">
        <v>1119</v>
      </c>
    </row>
    <row r="24" customFormat="false" ht="14.4" hidden="false" customHeight="false" outlineLevel="0" collapsed="false">
      <c r="B24" s="283" t="s">
        <v>357</v>
      </c>
      <c r="C24" s="283" t="s">
        <v>215</v>
      </c>
      <c r="D24" s="284" t="n">
        <v>3226</v>
      </c>
      <c r="E24" s="284" t="n">
        <v>593</v>
      </c>
    </row>
    <row r="25" customFormat="false" ht="14.4" hidden="false" customHeight="false" outlineLevel="0" collapsed="false">
      <c r="B25" s="283" t="s">
        <v>358</v>
      </c>
      <c r="C25" s="283" t="s">
        <v>215</v>
      </c>
      <c r="D25" s="284" t="n">
        <v>822</v>
      </c>
      <c r="E25" s="284" t="n">
        <v>145</v>
      </c>
    </row>
    <row r="26" customFormat="false" ht="14.4" hidden="false" customHeight="false" outlineLevel="0" collapsed="false">
      <c r="B26" s="283" t="s">
        <v>359</v>
      </c>
      <c r="C26" s="283" t="s">
        <v>214</v>
      </c>
      <c r="D26" s="284" t="n">
        <v>4527</v>
      </c>
      <c r="E26" s="284" t="n">
        <v>25</v>
      </c>
    </row>
    <row r="27" customFormat="false" ht="14.4" hidden="false" customHeight="false" outlineLevel="0" collapsed="false">
      <c r="B27" s="283" t="s">
        <v>360</v>
      </c>
      <c r="C27" s="283" t="s">
        <v>214</v>
      </c>
      <c r="D27" s="284" t="n">
        <v>3140</v>
      </c>
      <c r="E27" s="284" t="n">
        <v>686</v>
      </c>
    </row>
    <row r="28" customFormat="false" ht="14.4" hidden="false" customHeight="false" outlineLevel="0" collapsed="false">
      <c r="B28" s="283" t="s">
        <v>361</v>
      </c>
      <c r="C28" s="283" t="s">
        <v>214</v>
      </c>
      <c r="D28" s="284" t="n">
        <v>291</v>
      </c>
      <c r="E28" s="284" t="n">
        <v>87</v>
      </c>
    </row>
    <row r="29" customFormat="false" ht="14.4" hidden="false" customHeight="false" outlineLevel="0" collapsed="false">
      <c r="B29" s="283" t="s">
        <v>362</v>
      </c>
      <c r="C29" s="283" t="s">
        <v>214</v>
      </c>
      <c r="D29" s="284" t="n">
        <v>13267</v>
      </c>
      <c r="E29" s="284" t="n">
        <v>2104</v>
      </c>
    </row>
    <row r="30" customFormat="false" ht="14.4" hidden="false" customHeight="false" outlineLevel="0" collapsed="false">
      <c r="B30" s="283" t="s">
        <v>363</v>
      </c>
      <c r="C30" s="283" t="s">
        <v>215</v>
      </c>
      <c r="D30" s="284" t="n">
        <v>2560</v>
      </c>
      <c r="E30" s="284" t="n">
        <v>348</v>
      </c>
    </row>
    <row r="31" customFormat="false" ht="14.4" hidden="false" customHeight="false" outlineLevel="0" collapsed="false">
      <c r="B31" s="283" t="s">
        <v>217</v>
      </c>
      <c r="C31" s="283" t="s">
        <v>217</v>
      </c>
      <c r="D31" s="284" t="n">
        <v>7358</v>
      </c>
      <c r="E31" s="284" t="n">
        <v>5170</v>
      </c>
    </row>
    <row r="32" customFormat="false" ht="14.4" hidden="false" customHeight="false" outlineLevel="0" collapsed="false">
      <c r="B32" s="283" t="s">
        <v>364</v>
      </c>
      <c r="C32" s="283" t="s">
        <v>214</v>
      </c>
      <c r="D32" s="284" t="n">
        <v>448</v>
      </c>
      <c r="E32" s="284" t="n">
        <v>162</v>
      </c>
    </row>
    <row r="33" customFormat="false" ht="14.4" hidden="false" customHeight="false" outlineLevel="0" collapsed="false">
      <c r="B33" s="283" t="s">
        <v>365</v>
      </c>
      <c r="C33" s="283" t="s">
        <v>214</v>
      </c>
      <c r="D33" s="284" t="n">
        <v>19149</v>
      </c>
      <c r="E33" s="284" t="n">
        <v>2567</v>
      </c>
    </row>
    <row r="34" customFormat="false" ht="14.4" hidden="false" customHeight="false" outlineLevel="0" collapsed="false">
      <c r="B34" s="283" t="s">
        <v>366</v>
      </c>
      <c r="C34" s="283" t="s">
        <v>214</v>
      </c>
      <c r="D34" s="284" t="n">
        <v>898</v>
      </c>
      <c r="E34" s="284" t="n">
        <v>152</v>
      </c>
    </row>
    <row r="35" customFormat="false" ht="14.4" hidden="false" customHeight="false" outlineLevel="0" collapsed="false">
      <c r="B35" s="283" t="s">
        <v>367</v>
      </c>
      <c r="C35" s="283" t="s">
        <v>214</v>
      </c>
      <c r="D35" s="284" t="n">
        <v>3514</v>
      </c>
      <c r="E35" s="284" t="n">
        <v>555</v>
      </c>
    </row>
    <row r="36" customFormat="false" ht="14.4" hidden="false" customHeight="false" outlineLevel="0" collapsed="false">
      <c r="B36" s="283" t="s">
        <v>368</v>
      </c>
      <c r="C36" s="283" t="s">
        <v>214</v>
      </c>
      <c r="D36" s="284" t="n">
        <v>1507</v>
      </c>
      <c r="E36" s="284" t="n">
        <v>249</v>
      </c>
    </row>
    <row r="37" customFormat="false" ht="14.4" hidden="false" customHeight="false" outlineLevel="0" collapsed="false">
      <c r="B37" s="283" t="s">
        <v>369</v>
      </c>
      <c r="C37" s="283" t="s">
        <v>214</v>
      </c>
      <c r="D37" s="284" t="n">
        <v>24966</v>
      </c>
      <c r="E37" s="284" t="n">
        <v>4057</v>
      </c>
    </row>
    <row r="38" customFormat="false" ht="14.4" hidden="false" customHeight="false" outlineLevel="0" collapsed="false">
      <c r="B38" s="283" t="s">
        <v>370</v>
      </c>
      <c r="C38" s="283" t="s">
        <v>214</v>
      </c>
      <c r="D38" s="284" t="n">
        <v>29051</v>
      </c>
      <c r="E38" s="284" t="n">
        <v>4445</v>
      </c>
    </row>
    <row r="39" customFormat="false" ht="14.4" hidden="false" customHeight="false" outlineLevel="0" collapsed="false">
      <c r="B39" s="283" t="s">
        <v>371</v>
      </c>
      <c r="C39" s="283" t="s">
        <v>214</v>
      </c>
      <c r="D39" s="284" t="n">
        <v>959</v>
      </c>
      <c r="E39" s="284" t="n">
        <v>180</v>
      </c>
    </row>
    <row r="40" customFormat="false" ht="14.4" hidden="false" customHeight="false" outlineLevel="0" collapsed="false">
      <c r="B40" s="283" t="s">
        <v>372</v>
      </c>
      <c r="C40" s="283" t="s">
        <v>215</v>
      </c>
      <c r="D40" s="284" t="n">
        <v>17193</v>
      </c>
      <c r="E40" s="284" t="n">
        <v>3741</v>
      </c>
    </row>
    <row r="41" customFormat="false" ht="14.4" hidden="false" customHeight="false" outlineLevel="0" collapsed="false">
      <c r="B41" s="283" t="s">
        <v>373</v>
      </c>
      <c r="C41" s="283" t="s">
        <v>214</v>
      </c>
      <c r="D41" s="284" t="n">
        <v>1494</v>
      </c>
      <c r="E41" s="284" t="n">
        <v>251</v>
      </c>
    </row>
    <row r="42" customFormat="false" ht="14.4" hidden="false" customHeight="false" outlineLevel="0" collapsed="false">
      <c r="B42" s="283" t="s">
        <v>374</v>
      </c>
      <c r="C42" s="283" t="s">
        <v>214</v>
      </c>
      <c r="D42" s="284" t="n">
        <v>23843</v>
      </c>
      <c r="E42" s="284" t="n">
        <v>5070</v>
      </c>
    </row>
    <row r="43" customFormat="false" ht="14.4" hidden="false" customHeight="false" outlineLevel="0" collapsed="false">
      <c r="B43" s="283" t="s">
        <v>375</v>
      </c>
      <c r="C43" s="283" t="s">
        <v>214</v>
      </c>
      <c r="D43" s="284" t="n">
        <v>3518</v>
      </c>
      <c r="E43" s="284" t="n">
        <v>326</v>
      </c>
    </row>
    <row r="44" customFormat="false" ht="14.4" hidden="false" customHeight="false" outlineLevel="0" collapsed="false">
      <c r="B44" s="283" t="s">
        <v>376</v>
      </c>
      <c r="C44" s="283" t="s">
        <v>214</v>
      </c>
      <c r="D44" s="284" t="n">
        <v>4651</v>
      </c>
      <c r="E44" s="284" t="n">
        <v>650</v>
      </c>
    </row>
    <row r="45" customFormat="false" ht="14.4" hidden="false" customHeight="false" outlineLevel="0" collapsed="false">
      <c r="B45" s="283" t="s">
        <v>377</v>
      </c>
      <c r="C45" s="283" t="s">
        <v>214</v>
      </c>
      <c r="D45" s="284" t="n">
        <v>248146</v>
      </c>
      <c r="E45" s="284" t="n">
        <v>48117</v>
      </c>
    </row>
    <row r="46" customFormat="false" ht="14.4" hidden="false" customHeight="false" outlineLevel="0" collapsed="false">
      <c r="B46" s="283" t="s">
        <v>378</v>
      </c>
      <c r="C46" s="283" t="s">
        <v>214</v>
      </c>
      <c r="D46" s="284" t="n">
        <v>1901</v>
      </c>
      <c r="E46" s="284" t="n">
        <v>296</v>
      </c>
    </row>
    <row r="47" customFormat="false" ht="14.4" hidden="false" customHeight="false" outlineLevel="0" collapsed="false">
      <c r="B47" s="283" t="s">
        <v>379</v>
      </c>
      <c r="C47" s="283" t="s">
        <v>214</v>
      </c>
      <c r="D47" s="284" t="n">
        <v>10655</v>
      </c>
      <c r="E47" s="284" t="n">
        <v>1990</v>
      </c>
    </row>
    <row r="48" customFormat="false" ht="14.4" hidden="false" customHeight="false" outlineLevel="0" collapsed="false">
      <c r="B48" s="283" t="s">
        <v>380</v>
      </c>
      <c r="C48" s="283" t="s">
        <v>214</v>
      </c>
      <c r="D48" s="284" t="n">
        <v>3532</v>
      </c>
      <c r="E48" s="284" t="n">
        <v>579</v>
      </c>
    </row>
    <row r="49" customFormat="false" ht="14.4" hidden="false" customHeight="false" outlineLevel="0" collapsed="false">
      <c r="B49" s="283" t="s">
        <v>381</v>
      </c>
      <c r="C49" s="283" t="s">
        <v>214</v>
      </c>
      <c r="D49" s="284" t="n">
        <v>1351</v>
      </c>
      <c r="E49" s="284" t="n">
        <v>322</v>
      </c>
    </row>
    <row r="50" customFormat="false" ht="14.4" hidden="false" customHeight="false" outlineLevel="0" collapsed="false">
      <c r="B50" s="283" t="s">
        <v>382</v>
      </c>
      <c r="C50" s="283" t="s">
        <v>214</v>
      </c>
      <c r="D50" s="284" t="n">
        <v>8076</v>
      </c>
      <c r="E50" s="284" t="n">
        <v>1178</v>
      </c>
    </row>
    <row r="51" customFormat="false" ht="14.4" hidden="false" customHeight="false" outlineLevel="0" collapsed="false">
      <c r="B51" s="283" t="s">
        <v>383</v>
      </c>
      <c r="C51" s="283" t="s">
        <v>216</v>
      </c>
      <c r="D51" s="284" t="n">
        <v>15437</v>
      </c>
      <c r="E51" s="284" t="n">
        <v>4187</v>
      </c>
    </row>
    <row r="52" customFormat="false" ht="14.4" hidden="false" customHeight="false" outlineLevel="0" collapsed="false">
      <c r="B52" s="283" t="s">
        <v>384</v>
      </c>
      <c r="C52" s="283" t="s">
        <v>214</v>
      </c>
      <c r="D52" s="284" t="n">
        <v>1661</v>
      </c>
      <c r="E52" s="284" t="n">
        <v>317</v>
      </c>
    </row>
    <row r="53" customFormat="false" ht="14.4" hidden="false" customHeight="false" outlineLevel="0" collapsed="false">
      <c r="B53" s="283" t="s">
        <v>385</v>
      </c>
      <c r="C53" s="283" t="s">
        <v>216</v>
      </c>
      <c r="D53" s="284" t="n">
        <v>3921</v>
      </c>
      <c r="E53" s="284" t="n">
        <v>986</v>
      </c>
    </row>
    <row r="54" customFormat="false" ht="14.4" hidden="false" customHeight="false" outlineLevel="0" collapsed="false">
      <c r="B54" s="283" t="s">
        <v>386</v>
      </c>
      <c r="C54" s="283" t="s">
        <v>216</v>
      </c>
      <c r="D54" s="284" t="n">
        <v>18123</v>
      </c>
      <c r="E54" s="284" t="n">
        <v>5468</v>
      </c>
    </row>
    <row r="55" customFormat="false" ht="14.4" hidden="false" customHeight="false" outlineLevel="0" collapsed="false">
      <c r="B55" s="283" t="s">
        <v>387</v>
      </c>
      <c r="C55" s="283" t="s">
        <v>214</v>
      </c>
      <c r="D55" s="284" t="n">
        <v>6108</v>
      </c>
      <c r="E55" s="284" t="n">
        <v>1082</v>
      </c>
    </row>
    <row r="56" customFormat="false" ht="14.4" hidden="false" customHeight="false" outlineLevel="0" collapsed="false">
      <c r="B56" s="283" t="s">
        <v>388</v>
      </c>
      <c r="C56" s="283" t="s">
        <v>215</v>
      </c>
      <c r="D56" s="284" t="n">
        <v>4573</v>
      </c>
      <c r="E56" s="284" t="n">
        <v>1002</v>
      </c>
    </row>
    <row r="57" customFormat="false" ht="14.4" hidden="false" customHeight="false" outlineLevel="0" collapsed="false">
      <c r="B57" s="283" t="s">
        <v>389</v>
      </c>
      <c r="C57" s="283" t="s">
        <v>214</v>
      </c>
      <c r="D57" s="284" t="n">
        <v>1208</v>
      </c>
      <c r="E57" s="284" t="n">
        <v>286</v>
      </c>
    </row>
    <row r="58" customFormat="false" ht="14.4" hidden="false" customHeight="false" outlineLevel="0" collapsed="false">
      <c r="B58" s="283" t="s">
        <v>390</v>
      </c>
      <c r="C58" s="283" t="s">
        <v>216</v>
      </c>
      <c r="D58" s="284" t="n">
        <v>24306</v>
      </c>
      <c r="E58" s="284" t="n">
        <v>6186</v>
      </c>
    </row>
    <row r="59" customFormat="false" ht="14.4" hidden="false" customHeight="false" outlineLevel="0" collapsed="false">
      <c r="B59" s="283" t="s">
        <v>391</v>
      </c>
      <c r="C59" s="283" t="s">
        <v>214</v>
      </c>
      <c r="D59" s="284" t="n">
        <v>7543</v>
      </c>
      <c r="E59" s="284" t="n">
        <v>1132</v>
      </c>
    </row>
    <row r="60" customFormat="false" ht="14.4" hidden="false" customHeight="false" outlineLevel="0" collapsed="false">
      <c r="B60" s="283" t="s">
        <v>392</v>
      </c>
      <c r="C60" s="283" t="s">
        <v>214</v>
      </c>
      <c r="D60" s="284" t="n">
        <v>4433</v>
      </c>
      <c r="E60" s="284" t="n">
        <v>877</v>
      </c>
    </row>
    <row r="61" customFormat="false" ht="14.4" hidden="false" customHeight="false" outlineLevel="0" collapsed="false">
      <c r="B61" s="283" t="s">
        <v>393</v>
      </c>
      <c r="C61" s="283" t="s">
        <v>214</v>
      </c>
      <c r="D61" s="284" t="n">
        <v>10482</v>
      </c>
      <c r="E61" s="284" t="n">
        <v>2212</v>
      </c>
    </row>
    <row r="62" customFormat="false" ht="14.4" hidden="false" customHeight="false" outlineLevel="0" collapsed="false">
      <c r="B62" s="283" t="s">
        <v>394</v>
      </c>
      <c r="C62" s="283" t="s">
        <v>214</v>
      </c>
      <c r="D62" s="284" t="n">
        <v>2642</v>
      </c>
      <c r="E62" s="284" t="n">
        <v>451</v>
      </c>
    </row>
    <row r="63" customFormat="false" ht="14.4" hidden="false" customHeight="false" outlineLevel="0" collapsed="false">
      <c r="B63" s="283" t="s">
        <v>395</v>
      </c>
      <c r="C63" s="283" t="s">
        <v>214</v>
      </c>
      <c r="D63" s="284" t="n">
        <v>2174</v>
      </c>
      <c r="E63" s="284" t="n">
        <v>418</v>
      </c>
    </row>
    <row r="64" customFormat="false" ht="14.4" hidden="false" customHeight="false" outlineLevel="0" collapsed="false">
      <c r="B64" s="283" t="s">
        <v>396</v>
      </c>
      <c r="C64" s="283" t="s">
        <v>214</v>
      </c>
      <c r="D64" s="284" t="n">
        <v>3647</v>
      </c>
      <c r="E64" s="284" t="n">
        <v>592</v>
      </c>
    </row>
    <row r="65" customFormat="false" ht="14.4" hidden="false" customHeight="false" outlineLevel="0" collapsed="false">
      <c r="B65" s="283" t="s">
        <v>397</v>
      </c>
      <c r="C65" s="283" t="s">
        <v>214</v>
      </c>
      <c r="D65" s="284" t="n">
        <v>2519</v>
      </c>
      <c r="E65" s="284" t="n">
        <v>427</v>
      </c>
    </row>
    <row r="66" customFormat="false" ht="14.4" hidden="false" customHeight="false" outlineLevel="0" collapsed="false">
      <c r="B66" s="283" t="s">
        <v>398</v>
      </c>
      <c r="C66" s="283" t="s">
        <v>214</v>
      </c>
      <c r="D66" s="284" t="n">
        <v>8190</v>
      </c>
      <c r="E66" s="284" t="n">
        <v>2726</v>
      </c>
    </row>
    <row r="67" customFormat="false" ht="14.4" hidden="false" customHeight="false" outlineLevel="0" collapsed="false">
      <c r="B67" s="283" t="s">
        <v>399</v>
      </c>
      <c r="C67" s="283" t="s">
        <v>214</v>
      </c>
      <c r="D67" s="284" t="n">
        <v>8287</v>
      </c>
      <c r="E67" s="284" t="n">
        <v>1387</v>
      </c>
    </row>
    <row r="68" customFormat="false" ht="14.4" hidden="false" customHeight="false" outlineLevel="0" collapsed="false">
      <c r="B68" s="283" t="s">
        <v>400</v>
      </c>
      <c r="C68" s="283" t="s">
        <v>214</v>
      </c>
      <c r="D68" s="284" t="n">
        <v>1481</v>
      </c>
      <c r="E68" s="284" t="n">
        <v>249</v>
      </c>
    </row>
    <row r="69" customFormat="false" ht="14.4" hidden="false" customHeight="false" outlineLevel="0" collapsed="false">
      <c r="B69" s="283" t="s">
        <v>401</v>
      </c>
      <c r="C69" s="283" t="s">
        <v>214</v>
      </c>
      <c r="D69" s="284" t="n">
        <v>2000</v>
      </c>
      <c r="E69" s="284" t="n">
        <v>274</v>
      </c>
    </row>
  </sheetData>
  <sheetProtection sheet="true" password="e929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10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2" activeCellId="0" sqref="K2"/>
    </sheetView>
  </sheetViews>
  <sheetFormatPr defaultRowHeight="14.4" zeroHeight="false" outlineLevelRow="0" outlineLevelCol="0"/>
  <cols>
    <col collapsed="false" customWidth="true" hidden="false" outlineLevel="0" max="1" min="1" style="1" width="3.78"/>
    <col collapsed="false" customWidth="true" hidden="false" outlineLevel="0" max="2" min="2" style="1" width="9.13"/>
    <col collapsed="false" customWidth="true" hidden="false" outlineLevel="0" max="3" min="3" style="1" width="27.45"/>
    <col collapsed="false" customWidth="true" hidden="false" outlineLevel="0" max="4" min="4" style="1" width="25.11"/>
    <col collapsed="false" customWidth="true" hidden="false" outlineLevel="0" max="5" min="5" style="1" width="9.13"/>
    <col collapsed="false" customWidth="true" hidden="false" outlineLevel="0" max="6" min="6" style="1" width="11.91"/>
    <col collapsed="false" customWidth="true" hidden="false" outlineLevel="0" max="7" min="7" style="1" width="11.28"/>
    <col collapsed="false" customWidth="true" hidden="false" outlineLevel="0" max="8" min="8" style="1" width="10.78"/>
    <col collapsed="false" customWidth="true" hidden="false" outlineLevel="0" max="9" min="9" style="1" width="10.62"/>
    <col collapsed="false" customWidth="true" hidden="false" outlineLevel="0" max="1025" min="10" style="1" width="9.13"/>
  </cols>
  <sheetData>
    <row r="2" customFormat="false" ht="13.8" hidden="false" customHeight="false" outlineLevel="0" collapsed="false">
      <c r="B2" s="285" t="s">
        <v>252</v>
      </c>
      <c r="C2" s="285" t="s">
        <v>402</v>
      </c>
      <c r="D2" s="285" t="s">
        <v>403</v>
      </c>
      <c r="F2" s="286" t="s">
        <v>214</v>
      </c>
      <c r="G2" s="286" t="s">
        <v>215</v>
      </c>
      <c r="H2" s="286" t="s">
        <v>216</v>
      </c>
      <c r="I2" s="286" t="s">
        <v>217</v>
      </c>
    </row>
    <row r="3" customFormat="false" ht="13.8" hidden="false" customHeight="false" outlineLevel="0" collapsed="false">
      <c r="B3" s="287" t="n">
        <v>2005</v>
      </c>
      <c r="C3" s="288" t="n">
        <v>0.965462746556972</v>
      </c>
      <c r="D3" s="288" t="e">
        <f aca="false">IF('Emissions CO2'!$F$6="Mallorca",F3,IF('Emissions CO2'!$F$6="Menorca",G3,IF('Emissions CO2'!$F$6="Eivissa",H3,I3)))</f>
        <v>#N/A</v>
      </c>
      <c r="F3" s="289" t="n">
        <v>0.0831</v>
      </c>
      <c r="G3" s="289" t="n">
        <v>0.147</v>
      </c>
      <c r="H3" s="289" t="n">
        <v>0.0553</v>
      </c>
      <c r="I3" s="289" t="n">
        <v>0.0423</v>
      </c>
    </row>
    <row r="4" customFormat="false" ht="13.8" hidden="false" customHeight="false" outlineLevel="0" collapsed="false">
      <c r="B4" s="287" t="n">
        <v>2006</v>
      </c>
      <c r="C4" s="288" t="n">
        <v>0.90539852395681</v>
      </c>
      <c r="D4" s="288" t="e">
        <f aca="false">IF('Emissions CO2'!$F$6="Mallorca",F4,IF('Emissions CO2'!$F$6="Menorca",G4,IF('Emissions CO2'!$F$6="Eivissa",H4,I4)))</f>
        <v>#N/A</v>
      </c>
      <c r="F4" s="288" t="n">
        <f aca="false">F3+(F$10-F$3)/7</f>
        <v>0.0880857142857143</v>
      </c>
      <c r="G4" s="288" t="n">
        <f aca="false">G3+(G$10-G$3)/7</f>
        <v>0.1486</v>
      </c>
      <c r="H4" s="288" t="n">
        <f aca="false">H3+(H$10-H$3)/7</f>
        <v>0.0606857142857143</v>
      </c>
      <c r="I4" s="288" t="n">
        <f aca="false">I3+(I$10-I$3)/7</f>
        <v>0.0628857142857143</v>
      </c>
    </row>
    <row r="5" customFormat="false" ht="13.8" hidden="false" customHeight="false" outlineLevel="0" collapsed="false">
      <c r="B5" s="287" t="n">
        <v>2007</v>
      </c>
      <c r="C5" s="288" t="n">
        <v>0.897412519117054</v>
      </c>
      <c r="D5" s="288" t="e">
        <f aca="false">IF('Emissions CO2'!$F$6="Mallorca",F5,IF('Emissions CO2'!$F$6="Menorca",G5,IF('Emissions CO2'!$F$6="Eivissa",H5,I5)))</f>
        <v>#N/A</v>
      </c>
      <c r="F5" s="288" t="n">
        <f aca="false">F4+(F$10-F$3)/7</f>
        <v>0.0930714285714286</v>
      </c>
      <c r="G5" s="288" t="n">
        <f aca="false">G4+(G$10-G$3)/7</f>
        <v>0.1502</v>
      </c>
      <c r="H5" s="288" t="n">
        <f aca="false">H4+(H$10-H$3)/7</f>
        <v>0.0660714285714286</v>
      </c>
      <c r="I5" s="288" t="n">
        <f aca="false">I4+(I$10-I$3)/7</f>
        <v>0.0834714285714286</v>
      </c>
    </row>
    <row r="6" customFormat="false" ht="13.8" hidden="false" customHeight="false" outlineLevel="0" collapsed="false">
      <c r="B6" s="287" t="n">
        <v>2008</v>
      </c>
      <c r="C6" s="288" t="n">
        <v>0.913882735535633</v>
      </c>
      <c r="D6" s="288" t="e">
        <f aca="false">IF('Emissions CO2'!$F$6="Mallorca",F6,IF('Emissions CO2'!$F$6="Menorca",G6,IF('Emissions CO2'!$F$6="Eivissa",H6,I6)))</f>
        <v>#N/A</v>
      </c>
      <c r="F6" s="288" t="n">
        <f aca="false">F5+(F$10-F$3)/7</f>
        <v>0.0980571428571429</v>
      </c>
      <c r="G6" s="288" t="n">
        <f aca="false">G5+(G$10-G$3)/7</f>
        <v>0.1518</v>
      </c>
      <c r="H6" s="288" t="n">
        <f aca="false">H5+(H$10-H$3)/7</f>
        <v>0.0714571428571429</v>
      </c>
      <c r="I6" s="288" t="n">
        <f aca="false">I5+(I$10-I$3)/7</f>
        <v>0.104057142857143</v>
      </c>
    </row>
    <row r="7" customFormat="false" ht="13.8" hidden="false" customHeight="false" outlineLevel="0" collapsed="false">
      <c r="B7" s="287" t="n">
        <v>2009</v>
      </c>
      <c r="C7" s="288" t="n">
        <v>0.974550095689352</v>
      </c>
      <c r="D7" s="288" t="e">
        <f aca="false">IF('Emissions CO2'!$F$6="Mallorca",F7,IF('Emissions CO2'!$F$6="Menorca",G7,IF('Emissions CO2'!$F$6="Eivissa",H7,I7)))</f>
        <v>#N/A</v>
      </c>
      <c r="F7" s="288" t="n">
        <f aca="false">F6+(F$10-F$3)/7</f>
        <v>0.103042857142857</v>
      </c>
      <c r="G7" s="288" t="n">
        <f aca="false">G6+(G$10-G$3)/7</f>
        <v>0.1534</v>
      </c>
      <c r="H7" s="288" t="n">
        <f aca="false">H6+(H$10-H$3)/7</f>
        <v>0.0768428571428571</v>
      </c>
      <c r="I7" s="288" t="n">
        <f aca="false">I6+(I$10-I$3)/7</f>
        <v>0.124642857142857</v>
      </c>
    </row>
    <row r="8" customFormat="false" ht="13.8" hidden="false" customHeight="false" outlineLevel="0" collapsed="false">
      <c r="B8" s="287" t="n">
        <v>2010</v>
      </c>
      <c r="C8" s="288" t="n">
        <v>0.969523281898077</v>
      </c>
      <c r="D8" s="288" t="e">
        <f aca="false">IF('Emissions CO2'!$F$6="Mallorca",F8,IF('Emissions CO2'!$F$6="Menorca",G8,IF('Emissions CO2'!$F$6="Eivissa",H8,I8)))</f>
        <v>#N/A</v>
      </c>
      <c r="F8" s="288" t="n">
        <f aca="false">F7+(F$10-F$3)/7</f>
        <v>0.108028571428571</v>
      </c>
      <c r="G8" s="288" t="n">
        <f aca="false">G7+(G$10-G$3)/7</f>
        <v>0.155</v>
      </c>
      <c r="H8" s="288" t="n">
        <f aca="false">H7+(H$10-H$3)/7</f>
        <v>0.0822285714285714</v>
      </c>
      <c r="I8" s="288" t="n">
        <f aca="false">I7+(I$10-I$3)/7</f>
        <v>0.145228571428571</v>
      </c>
    </row>
    <row r="9" customFormat="false" ht="13.8" hidden="false" customHeight="false" outlineLevel="0" collapsed="false">
      <c r="B9" s="287" t="n">
        <v>2011</v>
      </c>
      <c r="C9" s="288" t="n">
        <v>0.943520408627756</v>
      </c>
      <c r="D9" s="288" t="e">
        <f aca="false">IF('Emissions CO2'!$F$6="Mallorca",F9,IF('Emissions CO2'!$F$6="Menorca",G9,IF('Emissions CO2'!$F$6="Eivissa",H9,I9)))</f>
        <v>#N/A</v>
      </c>
      <c r="F9" s="288" t="n">
        <f aca="false">F8+(F$10-F$3)/7</f>
        <v>0.113014285714286</v>
      </c>
      <c r="G9" s="288" t="n">
        <f aca="false">G8+(G$10-G$3)/7</f>
        <v>0.1566</v>
      </c>
      <c r="H9" s="288" t="n">
        <f aca="false">H8+(H$10-H$3)/7</f>
        <v>0.0876142857142857</v>
      </c>
      <c r="I9" s="288" t="n">
        <f aca="false">I8+(I$10-I$3)/7</f>
        <v>0.165814285714286</v>
      </c>
    </row>
    <row r="10" customFormat="false" ht="13.8" hidden="false" customHeight="false" outlineLevel="0" collapsed="false">
      <c r="B10" s="287" t="n">
        <v>2012</v>
      </c>
      <c r="C10" s="288" t="n">
        <v>0.875295181317873</v>
      </c>
      <c r="D10" s="288" t="e">
        <f aca="false">IF('Emissions CO2'!$F$6="Mallorca",F10,IF('Emissions CO2'!$F$6="Menorca",G10,IF('Emissions CO2'!$F$6="Eivissa",H10,I10)))</f>
        <v>#N/A</v>
      </c>
      <c r="F10" s="289" t="n">
        <v>0.118</v>
      </c>
      <c r="G10" s="289" t="n">
        <v>0.1582</v>
      </c>
      <c r="H10" s="289" t="n">
        <v>0.093</v>
      </c>
      <c r="I10" s="289" t="n">
        <v>0.1864</v>
      </c>
    </row>
    <row r="11" customFormat="false" ht="13.8" hidden="false" customHeight="false" outlineLevel="0" collapsed="false">
      <c r="B11" s="287" t="n">
        <v>2013</v>
      </c>
      <c r="C11" s="288" t="n">
        <v>0.817432718613451</v>
      </c>
      <c r="D11" s="288" t="e">
        <f aca="false">IF('Emissions CO2'!$F$6="Mallorca",F11,IF('Emissions CO2'!$F$6="Menorca",G11,IF('Emissions CO2'!$F$6="Eivissa",H11,I11)))</f>
        <v>#N/A</v>
      </c>
      <c r="F11" s="288" t="n">
        <f aca="false">F10+(F$14-F$10)/4</f>
        <v>0.12225</v>
      </c>
      <c r="G11" s="288" t="n">
        <f aca="false">G10+(G$16-G$10)/6</f>
        <v>0.15765</v>
      </c>
      <c r="H11" s="288" t="n">
        <f aca="false">H10+(H$16-H$10)/6</f>
        <v>0.0989333333333333</v>
      </c>
      <c r="I11" s="288" t="n">
        <f aca="false">I10+(I$16-I$10)/6</f>
        <v>0.1739</v>
      </c>
    </row>
    <row r="12" customFormat="false" ht="13.8" hidden="false" customHeight="false" outlineLevel="0" collapsed="false">
      <c r="B12" s="287" t="n">
        <v>2014</v>
      </c>
      <c r="C12" s="288" t="n">
        <v>0.769568585465048</v>
      </c>
      <c r="D12" s="288" t="e">
        <f aca="false">IF('Emissions CO2'!$F$6="Mallorca",F12,IF('Emissions CO2'!$F$6="Menorca",G12,IF('Emissions CO2'!$F$6="Eivissa",H12,I12)))</f>
        <v>#N/A</v>
      </c>
      <c r="F12" s="288" t="n">
        <f aca="false">F11+(F$14-F$10)/4</f>
        <v>0.1265</v>
      </c>
      <c r="G12" s="288" t="n">
        <f aca="false">G11+(G$16-G$10)/6</f>
        <v>0.1571</v>
      </c>
      <c r="H12" s="288" t="n">
        <f aca="false">H11+(H$16-H$10)/6</f>
        <v>0.104866666666667</v>
      </c>
      <c r="I12" s="288" t="n">
        <f aca="false">I11+(I$16-I$10)/6</f>
        <v>0.1614</v>
      </c>
    </row>
    <row r="13" customFormat="false" ht="13.8" hidden="false" customHeight="false" outlineLevel="0" collapsed="false">
      <c r="B13" s="287" t="n">
        <v>2015</v>
      </c>
      <c r="C13" s="288" t="n">
        <v>0.77141710342059</v>
      </c>
      <c r="D13" s="288" t="e">
        <f aca="false">IF('Emissions CO2'!$F$6="Mallorca",F13,IF('Emissions CO2'!$F$6="Menorca",G13,IF('Emissions CO2'!$F$6="Eivissa",H13,I13)))</f>
        <v>#N/A</v>
      </c>
      <c r="F13" s="288" t="n">
        <f aca="false">F12+(F$14-F$10)/4</f>
        <v>0.13075</v>
      </c>
      <c r="G13" s="288" t="n">
        <f aca="false">G12+(G$16-G$10)/6</f>
        <v>0.15655</v>
      </c>
      <c r="H13" s="288" t="n">
        <f aca="false">H12+(H$16-H$10)/6</f>
        <v>0.1108</v>
      </c>
      <c r="I13" s="288" t="n">
        <f aca="false">I12+(I$16-I$10)/6</f>
        <v>0.1489</v>
      </c>
    </row>
    <row r="14" customFormat="false" ht="13.8" hidden="false" customHeight="false" outlineLevel="0" collapsed="false">
      <c r="B14" s="287" t="n">
        <v>2016</v>
      </c>
      <c r="C14" s="288" t="n">
        <v>0.747675098676399</v>
      </c>
      <c r="D14" s="288" t="e">
        <f aca="false">IF('Emissions CO2'!$F$6="Mallorca",F14,IF('Emissions CO2'!$F$6="Menorca",G14,IF('Emissions CO2'!$F$6="Eivissa",H14,I14)))</f>
        <v>#N/A</v>
      </c>
      <c r="F14" s="290" t="n">
        <v>0.135</v>
      </c>
      <c r="G14" s="288" t="n">
        <f aca="false">G13+(G$16-G$10)/6</f>
        <v>0.156</v>
      </c>
      <c r="H14" s="288" t="n">
        <f aca="false">H13+(H$16-H$10)/6</f>
        <v>0.116733333333333</v>
      </c>
      <c r="I14" s="288" t="n">
        <f aca="false">I13+(I$16-I$10)/6</f>
        <v>0.1364</v>
      </c>
    </row>
    <row r="15" customFormat="false" ht="13.8" hidden="false" customHeight="false" outlineLevel="0" collapsed="false">
      <c r="B15" s="287" t="n">
        <v>2017</v>
      </c>
      <c r="C15" s="288" t="n">
        <v>0.777469354216821</v>
      </c>
      <c r="D15" s="288" t="e">
        <f aca="false">IF('Emissions CO2'!$F$6="Mallorca",F15,IF('Emissions CO2'!$F$6="Menorca",G15,IF('Emissions CO2'!$F$6="Eivissa",H15,I15)))</f>
        <v>#N/A</v>
      </c>
      <c r="F15" s="288" t="n">
        <f aca="false">F14+(F16-F14)/2</f>
        <v>0.1575</v>
      </c>
      <c r="G15" s="288" t="n">
        <f aca="false">G14+(G$16-G$10)/6</f>
        <v>0.15545</v>
      </c>
      <c r="H15" s="288" t="n">
        <f aca="false">H14+(H$16-H$10)/6</f>
        <v>0.122666666666667</v>
      </c>
      <c r="I15" s="288" t="n">
        <f aca="false">I14+(I$16-I$10)/6</f>
        <v>0.1239</v>
      </c>
    </row>
    <row r="16" customFormat="false" ht="13.8" hidden="false" customHeight="false" outlineLevel="0" collapsed="false">
      <c r="B16" s="287" t="n">
        <v>2018</v>
      </c>
      <c r="C16" s="288" t="n">
        <v>0.775377147156933</v>
      </c>
      <c r="D16" s="288" t="e">
        <f aca="false">IF('Emissions CO2'!$F$6="Mallorca",F16,IF('Emissions CO2'!$F$6="Menorca",G16,IF('Emissions CO2'!$F$6="Eivissa",H16,I16)))</f>
        <v>#N/A</v>
      </c>
      <c r="F16" s="289" t="n">
        <v>0.18</v>
      </c>
      <c r="G16" s="289" t="n">
        <v>0.1549</v>
      </c>
      <c r="H16" s="289" t="n">
        <v>0.1286</v>
      </c>
      <c r="I16" s="289" t="n">
        <v>0.1114</v>
      </c>
    </row>
    <row r="17" customFormat="false" ht="13.8" hidden="false" customHeight="false" outlineLevel="0" collapsed="false">
      <c r="B17" s="287" t="n">
        <v>2019</v>
      </c>
      <c r="C17" s="288" t="n">
        <v>0.595</v>
      </c>
      <c r="D17" s="288" t="e">
        <f aca="false">IF('Emissions CO2'!$F$6="Mallorca",F17,IF('Emissions CO2'!$F$6="Menorca",G17,IF('Emissions CO2'!$F$6="Eivissa",H17,I17)))</f>
        <v>#N/A</v>
      </c>
      <c r="F17" s="288" t="n">
        <f aca="false">F16+(F$23-F$16)/7</f>
        <v>0.232857142857143</v>
      </c>
      <c r="G17" s="288" t="n">
        <f aca="false">G16+(G$23-G$16)/7</f>
        <v>0.211342857142857</v>
      </c>
      <c r="H17" s="288" t="n">
        <f aca="false">H16+(H$23-H$16)/7</f>
        <v>0.1888</v>
      </c>
      <c r="I17" s="288" t="n">
        <f aca="false">I16+(I$23-I$16)/7</f>
        <v>0.174057142857143</v>
      </c>
    </row>
    <row r="18" customFormat="false" ht="13.8" hidden="false" customHeight="false" outlineLevel="0" collapsed="false">
      <c r="B18" s="287" t="n">
        <v>2020</v>
      </c>
      <c r="C18" s="291" t="n">
        <v>0.48</v>
      </c>
      <c r="D18" s="288" t="e">
        <f aca="false">IF('Emissions CO2'!$F$6="Mallorca",F18,IF('Emissions CO2'!$F$6="Menorca",G18,IF('Emissions CO2'!$F$6="Eivissa",H18,I18)))</f>
        <v>#N/A</v>
      </c>
      <c r="F18" s="288" t="n">
        <f aca="false">F17+(F$23-F$16)/7</f>
        <v>0.285714285714286</v>
      </c>
      <c r="G18" s="288" t="n">
        <f aca="false">G17+(G$23-G$16)/7</f>
        <v>0.267785714285714</v>
      </c>
      <c r="H18" s="288" t="n">
        <f aca="false">H17+(H$23-H$16)/7</f>
        <v>0.249</v>
      </c>
      <c r="I18" s="288" t="n">
        <f aca="false">I17+(I$23-I$16)/7</f>
        <v>0.236714285714286</v>
      </c>
    </row>
    <row r="19" customFormat="false" ht="13.8" hidden="false" customHeight="false" outlineLevel="0" collapsed="false">
      <c r="B19" s="287" t="n">
        <v>2021</v>
      </c>
      <c r="C19" s="291" t="n">
        <v>0.48</v>
      </c>
      <c r="D19" s="288" t="e">
        <f aca="false">IF('Emissions CO2'!$F$6="Mallorca",F19,IF('Emissions CO2'!$F$6="Menorca",G19,IF('Emissions CO2'!$F$6="Eivissa",H19,I19)))</f>
        <v>#N/A</v>
      </c>
      <c r="F19" s="288" t="n">
        <f aca="false">F18+(F$23-F$16)/7</f>
        <v>0.338571428571429</v>
      </c>
      <c r="G19" s="288" t="n">
        <f aca="false">G18+(G$23-G$16)/7</f>
        <v>0.324228571428571</v>
      </c>
      <c r="H19" s="288" t="n">
        <f aca="false">H18+(H$23-H$16)/7</f>
        <v>0.3092</v>
      </c>
      <c r="I19" s="288" t="n">
        <f aca="false">I18+(I$23-I$16)/7</f>
        <v>0.299371428571429</v>
      </c>
    </row>
    <row r="20" customFormat="false" ht="13.8" hidden="false" customHeight="false" outlineLevel="0" collapsed="false">
      <c r="B20" s="287" t="n">
        <v>2022</v>
      </c>
      <c r="C20" s="291" t="n">
        <v>0.45</v>
      </c>
      <c r="D20" s="288" t="e">
        <f aca="false">IF('Emissions CO2'!$F$6="Mallorca",F20,IF('Emissions CO2'!$F$6="Menorca",G20,IF('Emissions CO2'!$F$6="Eivissa",H20,I20)))</f>
        <v>#N/A</v>
      </c>
      <c r="F20" s="288" t="n">
        <f aca="false">F19+(F$23-F$16)/7</f>
        <v>0.391428571428571</v>
      </c>
      <c r="G20" s="288" t="n">
        <f aca="false">G19+(G$23-G$16)/7</f>
        <v>0.380671428571429</v>
      </c>
      <c r="H20" s="288" t="n">
        <f aca="false">H19+(H$23-H$16)/7</f>
        <v>0.3694</v>
      </c>
      <c r="I20" s="288" t="n">
        <f aca="false">I19+(I$23-I$16)/7</f>
        <v>0.362028571428571</v>
      </c>
    </row>
    <row r="21" customFormat="false" ht="13.8" hidden="false" customHeight="false" outlineLevel="0" collapsed="false">
      <c r="B21" s="287" t="n">
        <v>2023</v>
      </c>
      <c r="C21" s="291" t="n">
        <v>0.42</v>
      </c>
      <c r="D21" s="288" t="e">
        <f aca="false">IF('Emissions CO2'!$F$6="Mallorca",F21,IF('Emissions CO2'!$F$6="Menorca",G21,IF('Emissions CO2'!$F$6="Eivissa",H21,I21)))</f>
        <v>#N/A</v>
      </c>
      <c r="F21" s="288" t="n">
        <f aca="false">F20+(F$23-F$16)/7</f>
        <v>0.444285714285714</v>
      </c>
      <c r="G21" s="288" t="n">
        <f aca="false">G20+(G$23-G$16)/7</f>
        <v>0.437114285714286</v>
      </c>
      <c r="H21" s="288" t="n">
        <f aca="false">H20+(H$23-H$16)/7</f>
        <v>0.4296</v>
      </c>
      <c r="I21" s="288" t="n">
        <f aca="false">I20+(I$23-I$16)/7</f>
        <v>0.424685714285714</v>
      </c>
    </row>
    <row r="22" customFormat="false" ht="13.8" hidden="false" customHeight="false" outlineLevel="0" collapsed="false">
      <c r="B22" s="287" t="n">
        <v>2024</v>
      </c>
      <c r="C22" s="291" t="n">
        <v>0.39</v>
      </c>
      <c r="D22" s="288" t="e">
        <f aca="false">IF('Emissions CO2'!$F$6="Mallorca",F22,IF('Emissions CO2'!$F$6="Menorca",G22,IF('Emissions CO2'!$F$6="Eivissa",H22,I22)))</f>
        <v>#N/A</v>
      </c>
      <c r="F22" s="288" t="n">
        <f aca="false">F21+(F$23-F$16)/7</f>
        <v>0.497142857142857</v>
      </c>
      <c r="G22" s="288" t="n">
        <f aca="false">G21+(G$23-G$16)/7</f>
        <v>0.493557142857143</v>
      </c>
      <c r="H22" s="288" t="n">
        <f aca="false">H21+(H$23-H$16)/7</f>
        <v>0.4898</v>
      </c>
      <c r="I22" s="288" t="n">
        <f aca="false">I21+(I$23-I$16)/7</f>
        <v>0.487342857142857</v>
      </c>
    </row>
    <row r="23" customFormat="false" ht="13.8" hidden="false" customHeight="false" outlineLevel="0" collapsed="false">
      <c r="B23" s="287" t="n">
        <v>2025</v>
      </c>
      <c r="C23" s="291" t="n">
        <v>0.36</v>
      </c>
      <c r="D23" s="288" t="e">
        <f aca="false">IF('Emissions CO2'!$F$6="Mallorca",F23,IF('Emissions CO2'!$F$6="Menorca",G23,IF('Emissions CO2'!$F$6="Eivissa",H23,I23)))</f>
        <v>#N/A</v>
      </c>
      <c r="F23" s="289" t="n">
        <v>0.55</v>
      </c>
      <c r="G23" s="289" t="n">
        <v>0.55</v>
      </c>
      <c r="H23" s="289" t="n">
        <v>0.55</v>
      </c>
      <c r="I23" s="289" t="n">
        <v>0.55</v>
      </c>
    </row>
    <row r="24" customFormat="false" ht="13.8" hidden="false" customHeight="false" outlineLevel="0" collapsed="false">
      <c r="B24" s="287" t="n">
        <v>2026</v>
      </c>
      <c r="C24" s="291" t="n">
        <v>0.33</v>
      </c>
      <c r="D24" s="288" t="e">
        <f aca="false">IF('Emissions CO2'!$F$6="Mallorca",F24,IF('Emissions CO2'!$F$6="Menorca",G24,IF('Emissions CO2'!$F$6="Eivissa",H24,I24)))</f>
        <v>#N/A</v>
      </c>
      <c r="F24" s="288" t="n">
        <f aca="false">F23+(F$28-F$23)/5</f>
        <v>0.56</v>
      </c>
      <c r="G24" s="288" t="n">
        <f aca="false">G23+(G$28-G$23)/5</f>
        <v>0.56</v>
      </c>
      <c r="H24" s="288" t="n">
        <f aca="false">H23+(H$28-H$23)/5</f>
        <v>0.56</v>
      </c>
      <c r="I24" s="288" t="n">
        <f aca="false">I23+(I$28-I$23)/5</f>
        <v>0.56</v>
      </c>
    </row>
    <row r="25" customFormat="false" ht="13.8" hidden="false" customHeight="false" outlineLevel="0" collapsed="false">
      <c r="B25" s="287" t="n">
        <v>2027</v>
      </c>
      <c r="C25" s="291" t="n">
        <v>0.3</v>
      </c>
      <c r="D25" s="288" t="e">
        <f aca="false">IF('Emissions CO2'!$F$6="Mallorca",F25,IF('Emissions CO2'!$F$6="Menorca",G25,IF('Emissions CO2'!$F$6="Eivissa",H25,I25)))</f>
        <v>#N/A</v>
      </c>
      <c r="F25" s="288" t="n">
        <f aca="false">F24+(F$28-F$23)/5</f>
        <v>0.57</v>
      </c>
      <c r="G25" s="288" t="n">
        <f aca="false">G24+(G$28-G$23)/5</f>
        <v>0.57</v>
      </c>
      <c r="H25" s="288" t="n">
        <f aca="false">H24+(H$28-H$23)/5</f>
        <v>0.57</v>
      </c>
      <c r="I25" s="288" t="n">
        <f aca="false">I24+(I$28-I$23)/5</f>
        <v>0.57</v>
      </c>
    </row>
    <row r="26" customFormat="false" ht="13.8" hidden="false" customHeight="false" outlineLevel="0" collapsed="false">
      <c r="B26" s="287" t="n">
        <v>2028</v>
      </c>
      <c r="C26" s="291" t="n">
        <v>0.22</v>
      </c>
      <c r="D26" s="288" t="e">
        <f aca="false">IF('Emissions CO2'!$F$6="Mallorca",F26,IF('Emissions CO2'!$F$6="Menorca",G26,IF('Emissions CO2'!$F$6="Eivissa",H26,I26)))</f>
        <v>#N/A</v>
      </c>
      <c r="F26" s="288" t="n">
        <f aca="false">F25+(F$28-F$23)/5</f>
        <v>0.58</v>
      </c>
      <c r="G26" s="288" t="n">
        <f aca="false">G25+(G$28-G$23)/5</f>
        <v>0.58</v>
      </c>
      <c r="H26" s="288" t="n">
        <f aca="false">H25+(H$28-H$23)/5</f>
        <v>0.58</v>
      </c>
      <c r="I26" s="288" t="n">
        <f aca="false">I25+(I$28-I$23)/5</f>
        <v>0.58</v>
      </c>
    </row>
    <row r="27" customFormat="false" ht="13.8" hidden="false" customHeight="false" outlineLevel="0" collapsed="false">
      <c r="B27" s="287" t="n">
        <v>2029</v>
      </c>
      <c r="C27" s="291" t="n">
        <v>0.22</v>
      </c>
      <c r="D27" s="288" t="e">
        <f aca="false">IF('Emissions CO2'!$F$6="Mallorca",F27,IF('Emissions CO2'!$F$6="Menorca",G27,IF('Emissions CO2'!$F$6="Eivissa",H27,I27)))</f>
        <v>#N/A</v>
      </c>
      <c r="F27" s="288" t="n">
        <f aca="false">F26+(F$28-F$23)/5</f>
        <v>0.59</v>
      </c>
      <c r="G27" s="288" t="n">
        <f aca="false">G26+(G$28-G$23)/5</f>
        <v>0.59</v>
      </c>
      <c r="H27" s="288" t="n">
        <f aca="false">H26+(H$28-H$23)/5</f>
        <v>0.59</v>
      </c>
      <c r="I27" s="288" t="n">
        <f aca="false">I26+(I$28-I$23)/5</f>
        <v>0.59</v>
      </c>
    </row>
    <row r="28" customFormat="false" ht="13.8" hidden="false" customHeight="false" outlineLevel="0" collapsed="false">
      <c r="B28" s="287" t="n">
        <v>2030</v>
      </c>
      <c r="C28" s="291" t="n">
        <v>0.215</v>
      </c>
      <c r="D28" s="288" t="e">
        <f aca="false">IF('Emissions CO2'!$F$6="Mallorca",F28,IF('Emissions CO2'!$F$6="Menorca",G28,IF('Emissions CO2'!$F$6="Eivissa",H28,I28)))</f>
        <v>#N/A</v>
      </c>
      <c r="F28" s="289" t="n">
        <v>0.6</v>
      </c>
      <c r="G28" s="292" t="n">
        <v>0.6</v>
      </c>
      <c r="H28" s="292" t="n">
        <v>0.6</v>
      </c>
      <c r="I28" s="292" t="n">
        <v>0.6</v>
      </c>
    </row>
    <row r="29" customFormat="false" ht="13.8" hidden="false" customHeight="false" outlineLevel="0" collapsed="false">
      <c r="B29" s="287" t="n">
        <v>2031</v>
      </c>
      <c r="C29" s="291" t="n">
        <v>0.208</v>
      </c>
      <c r="D29" s="288" t="e">
        <f aca="false">IF('Emissions CO2'!$F$6="Mallorca",F29,IF('Emissions CO2'!$F$6="Menorca",G29,IF('Emissions CO2'!$F$6="Eivissa",H29,I29)))</f>
        <v>#N/A</v>
      </c>
      <c r="F29" s="288" t="n">
        <f aca="false">F28+(F$48-F$28)/20</f>
        <v>0.605</v>
      </c>
      <c r="G29" s="288" t="n">
        <f aca="false">G28+(G$48-G$28)/20</f>
        <v>0.605</v>
      </c>
      <c r="H29" s="288" t="n">
        <f aca="false">H28+(H$48-H$28)/20</f>
        <v>0.605</v>
      </c>
      <c r="I29" s="288" t="n">
        <f aca="false">I28+(I$48-I$28)/20</f>
        <v>0.605</v>
      </c>
    </row>
    <row r="30" customFormat="false" ht="13.8" hidden="false" customHeight="false" outlineLevel="0" collapsed="false">
      <c r="B30" s="287" t="n">
        <v>2032</v>
      </c>
      <c r="C30" s="291" t="n">
        <v>0.201</v>
      </c>
      <c r="D30" s="288" t="e">
        <f aca="false">IF('Emissions CO2'!$F$6="Mallorca",F30,IF('Emissions CO2'!$F$6="Menorca",G30,IF('Emissions CO2'!$F$6="Eivissa",H30,I30)))</f>
        <v>#N/A</v>
      </c>
      <c r="F30" s="288" t="n">
        <f aca="false">F29+(F$48-F$28)/20</f>
        <v>0.61</v>
      </c>
      <c r="G30" s="288" t="n">
        <f aca="false">G29+(G$48-G$28)/20</f>
        <v>0.61</v>
      </c>
      <c r="H30" s="288" t="n">
        <f aca="false">H29+(H$48-H$28)/20</f>
        <v>0.61</v>
      </c>
      <c r="I30" s="288" t="n">
        <f aca="false">I29+(I$48-I$28)/20</f>
        <v>0.61</v>
      </c>
    </row>
    <row r="31" customFormat="false" ht="13.8" hidden="false" customHeight="false" outlineLevel="0" collapsed="false">
      <c r="B31" s="287" t="n">
        <v>2033</v>
      </c>
      <c r="C31" s="291" t="n">
        <v>0.193</v>
      </c>
      <c r="D31" s="288" t="e">
        <f aca="false">IF('Emissions CO2'!$F$6="Mallorca",F31,IF('Emissions CO2'!$F$6="Menorca",G31,IF('Emissions CO2'!$F$6="Eivissa",H31,I31)))</f>
        <v>#N/A</v>
      </c>
      <c r="F31" s="288" t="n">
        <f aca="false">F30+(F$48-F$28)/20</f>
        <v>0.615</v>
      </c>
      <c r="G31" s="288" t="n">
        <f aca="false">G30+(G$48-G$28)/20</f>
        <v>0.615</v>
      </c>
      <c r="H31" s="288" t="n">
        <f aca="false">H30+(H$48-H$28)/20</f>
        <v>0.615</v>
      </c>
      <c r="I31" s="288" t="n">
        <f aca="false">I30+(I$48-I$28)/20</f>
        <v>0.615</v>
      </c>
    </row>
    <row r="32" customFormat="false" ht="13.8" hidden="false" customHeight="false" outlineLevel="0" collapsed="false">
      <c r="B32" s="287" t="n">
        <v>2034</v>
      </c>
      <c r="C32" s="291" t="n">
        <v>0.186</v>
      </c>
      <c r="D32" s="288" t="e">
        <f aca="false">IF('Emissions CO2'!$F$6="Mallorca",F32,IF('Emissions CO2'!$F$6="Menorca",G32,IF('Emissions CO2'!$F$6="Eivissa",H32,I32)))</f>
        <v>#N/A</v>
      </c>
      <c r="F32" s="288" t="n">
        <f aca="false">F31+(F$48-F$28)/20</f>
        <v>0.62</v>
      </c>
      <c r="G32" s="288" t="n">
        <f aca="false">G31+(G$48-G$28)/20</f>
        <v>0.62</v>
      </c>
      <c r="H32" s="288" t="n">
        <f aca="false">H31+(H$48-H$28)/20</f>
        <v>0.62</v>
      </c>
      <c r="I32" s="288" t="n">
        <f aca="false">I31+(I$48-I$28)/20</f>
        <v>0.62</v>
      </c>
    </row>
    <row r="33" customFormat="false" ht="13.8" hidden="false" customHeight="false" outlineLevel="0" collapsed="false">
      <c r="B33" s="287" t="n">
        <v>2035</v>
      </c>
      <c r="C33" s="291" t="n">
        <v>0.179</v>
      </c>
      <c r="D33" s="288" t="e">
        <f aca="false">IF('Emissions CO2'!$F$6="Mallorca",F33,IF('Emissions CO2'!$F$6="Menorca",G33,IF('Emissions CO2'!$F$6="Eivissa",H33,I33)))</f>
        <v>#N/A</v>
      </c>
      <c r="F33" s="288" t="n">
        <f aca="false">F32+(F$48-F$28)/20</f>
        <v>0.625</v>
      </c>
      <c r="G33" s="288" t="n">
        <f aca="false">G32+(G$48-G$28)/20</f>
        <v>0.625</v>
      </c>
      <c r="H33" s="288" t="n">
        <f aca="false">H32+(H$48-H$28)/20</f>
        <v>0.625</v>
      </c>
      <c r="I33" s="288" t="n">
        <f aca="false">I32+(I$48-I$28)/20</f>
        <v>0.625</v>
      </c>
    </row>
    <row r="34" customFormat="false" ht="13.8" hidden="false" customHeight="false" outlineLevel="0" collapsed="false">
      <c r="B34" s="287" t="n">
        <v>2036</v>
      </c>
      <c r="C34" s="291" t="n">
        <v>0.172</v>
      </c>
      <c r="D34" s="288" t="e">
        <f aca="false">IF('Emissions CO2'!$F$6="Mallorca",F34,IF('Emissions CO2'!$F$6="Menorca",G34,IF('Emissions CO2'!$F$6="Eivissa",H34,I34)))</f>
        <v>#N/A</v>
      </c>
      <c r="F34" s="288" t="n">
        <f aca="false">F33+(F$48-F$28)/20</f>
        <v>0.63</v>
      </c>
      <c r="G34" s="288" t="n">
        <f aca="false">G33+(G$48-G$28)/20</f>
        <v>0.63</v>
      </c>
      <c r="H34" s="288" t="n">
        <f aca="false">H33+(H$48-H$28)/20</f>
        <v>0.63</v>
      </c>
      <c r="I34" s="288" t="n">
        <f aca="false">I33+(I$48-I$28)/20</f>
        <v>0.63</v>
      </c>
    </row>
    <row r="35" customFormat="false" ht="13.8" hidden="false" customHeight="false" outlineLevel="0" collapsed="false">
      <c r="B35" s="287" t="n">
        <v>2037</v>
      </c>
      <c r="C35" s="291" t="n">
        <v>0.164</v>
      </c>
      <c r="D35" s="288" t="e">
        <f aca="false">IF('Emissions CO2'!$F$6="Mallorca",F35,IF('Emissions CO2'!$F$6="Menorca",G35,IF('Emissions CO2'!$F$6="Eivissa",H35,I35)))</f>
        <v>#N/A</v>
      </c>
      <c r="F35" s="288" t="n">
        <f aca="false">F34+(F$48-F$28)/20</f>
        <v>0.635</v>
      </c>
      <c r="G35" s="288" t="n">
        <f aca="false">G34+(G$48-G$28)/20</f>
        <v>0.635</v>
      </c>
      <c r="H35" s="288" t="n">
        <f aca="false">H34+(H$48-H$28)/20</f>
        <v>0.635</v>
      </c>
      <c r="I35" s="288" t="n">
        <f aca="false">I34+(I$48-I$28)/20</f>
        <v>0.635</v>
      </c>
    </row>
    <row r="36" customFormat="false" ht="13.8" hidden="false" customHeight="false" outlineLevel="0" collapsed="false">
      <c r="B36" s="287" t="n">
        <v>2038</v>
      </c>
      <c r="C36" s="291" t="n">
        <v>0.157</v>
      </c>
      <c r="D36" s="288" t="e">
        <f aca="false">IF('Emissions CO2'!$F$6="Mallorca",F36,IF('Emissions CO2'!$F$6="Menorca",G36,IF('Emissions CO2'!$F$6="Eivissa",H36,I36)))</f>
        <v>#N/A</v>
      </c>
      <c r="F36" s="288" t="n">
        <f aca="false">F35+(F$48-F$28)/20</f>
        <v>0.64</v>
      </c>
      <c r="G36" s="288" t="n">
        <f aca="false">G35+(G$48-G$28)/20</f>
        <v>0.64</v>
      </c>
      <c r="H36" s="288" t="n">
        <f aca="false">H35+(H$48-H$28)/20</f>
        <v>0.64</v>
      </c>
      <c r="I36" s="288" t="n">
        <f aca="false">I35+(I$48-I$28)/20</f>
        <v>0.64</v>
      </c>
    </row>
    <row r="37" customFormat="false" ht="13.8" hidden="false" customHeight="false" outlineLevel="0" collapsed="false">
      <c r="B37" s="287" t="n">
        <v>2039</v>
      </c>
      <c r="C37" s="291" t="n">
        <v>0.15</v>
      </c>
      <c r="D37" s="288" t="e">
        <f aca="false">IF('Emissions CO2'!$F$6="Mallorca",F37,IF('Emissions CO2'!$F$6="Menorca",G37,IF('Emissions CO2'!$F$6="Eivissa",H37,I37)))</f>
        <v>#N/A</v>
      </c>
      <c r="F37" s="288" t="n">
        <f aca="false">F36+(F$48-F$28)/20</f>
        <v>0.645</v>
      </c>
      <c r="G37" s="288" t="n">
        <f aca="false">G36+(G$48-G$28)/20</f>
        <v>0.645</v>
      </c>
      <c r="H37" s="288" t="n">
        <f aca="false">H36+(H$48-H$28)/20</f>
        <v>0.645</v>
      </c>
      <c r="I37" s="288" t="n">
        <f aca="false">I36+(I$48-I$28)/20</f>
        <v>0.645</v>
      </c>
    </row>
    <row r="38" customFormat="false" ht="13.8" hidden="false" customHeight="false" outlineLevel="0" collapsed="false">
      <c r="B38" s="287" t="n">
        <v>2040</v>
      </c>
      <c r="C38" s="291" t="n">
        <v>0.143</v>
      </c>
      <c r="D38" s="288" t="e">
        <f aca="false">IF('Emissions CO2'!$F$6="Mallorca",F38,IF('Emissions CO2'!$F$6="Menorca",G38,IF('Emissions CO2'!$F$6="Eivissa",H38,I38)))</f>
        <v>#N/A</v>
      </c>
      <c r="F38" s="288" t="n">
        <f aca="false">F37+(F$48-F$28)/20</f>
        <v>0.65</v>
      </c>
      <c r="G38" s="288" t="n">
        <f aca="false">G37+(G$48-G$28)/20</f>
        <v>0.65</v>
      </c>
      <c r="H38" s="288" t="n">
        <f aca="false">H37+(H$48-H$28)/20</f>
        <v>0.65</v>
      </c>
      <c r="I38" s="288" t="n">
        <f aca="false">I37+(I$48-I$28)/20</f>
        <v>0.65</v>
      </c>
    </row>
    <row r="39" customFormat="false" ht="13.8" hidden="false" customHeight="false" outlineLevel="0" collapsed="false">
      <c r="B39" s="287" t="n">
        <v>2041</v>
      </c>
      <c r="C39" s="291" t="n">
        <v>0.135</v>
      </c>
      <c r="D39" s="288" t="e">
        <f aca="false">IF('Emissions CO2'!$F$6="Mallorca",F39,IF('Emissions CO2'!$F$6="Menorca",G39,IF('Emissions CO2'!$F$6="Eivissa",H39,I39)))</f>
        <v>#N/A</v>
      </c>
      <c r="F39" s="288" t="n">
        <f aca="false">F38+(F$48-F$28)/20</f>
        <v>0.655</v>
      </c>
      <c r="G39" s="288" t="n">
        <f aca="false">G38+(G$48-G$28)/20</f>
        <v>0.655</v>
      </c>
      <c r="H39" s="288" t="n">
        <f aca="false">H38+(H$48-H$28)/20</f>
        <v>0.655</v>
      </c>
      <c r="I39" s="288" t="n">
        <f aca="false">I38+(I$48-I$28)/20</f>
        <v>0.655</v>
      </c>
    </row>
    <row r="40" customFormat="false" ht="13.8" hidden="false" customHeight="false" outlineLevel="0" collapsed="false">
      <c r="B40" s="287" t="n">
        <v>2042</v>
      </c>
      <c r="C40" s="291" t="n">
        <v>0.128</v>
      </c>
      <c r="D40" s="288" t="e">
        <f aca="false">IF('Emissions CO2'!$F$6="Mallorca",F40,IF('Emissions CO2'!$F$6="Menorca",G40,IF('Emissions CO2'!$F$6="Eivissa",H40,I40)))</f>
        <v>#N/A</v>
      </c>
      <c r="F40" s="288" t="n">
        <f aca="false">F39+(F$48-F$28)/20</f>
        <v>0.66</v>
      </c>
      <c r="G40" s="288" t="n">
        <f aca="false">G39+(G$48-G$28)/20</f>
        <v>0.66</v>
      </c>
      <c r="H40" s="288" t="n">
        <f aca="false">H39+(H$48-H$28)/20</f>
        <v>0.66</v>
      </c>
      <c r="I40" s="288" t="n">
        <f aca="false">I39+(I$48-I$28)/20</f>
        <v>0.66</v>
      </c>
    </row>
    <row r="41" customFormat="false" ht="13.8" hidden="false" customHeight="false" outlineLevel="0" collapsed="false">
      <c r="B41" s="287" t="n">
        <v>2043</v>
      </c>
      <c r="C41" s="291" t="n">
        <v>0.121</v>
      </c>
      <c r="D41" s="288" t="e">
        <f aca="false">IF('Emissions CO2'!$F$6="Mallorca",F41,IF('Emissions CO2'!$F$6="Menorca",G41,IF('Emissions CO2'!$F$6="Eivissa",H41,I41)))</f>
        <v>#N/A</v>
      </c>
      <c r="F41" s="288" t="n">
        <f aca="false">F40+(F$48-F$28)/20</f>
        <v>0.665</v>
      </c>
      <c r="G41" s="288" t="n">
        <f aca="false">G40+(G$48-G$28)/20</f>
        <v>0.665</v>
      </c>
      <c r="H41" s="288" t="n">
        <f aca="false">H40+(H$48-H$28)/20</f>
        <v>0.665</v>
      </c>
      <c r="I41" s="288" t="n">
        <f aca="false">I40+(I$48-I$28)/20</f>
        <v>0.665</v>
      </c>
    </row>
    <row r="42" customFormat="false" ht="13.8" hidden="false" customHeight="false" outlineLevel="0" collapsed="false">
      <c r="B42" s="287" t="n">
        <v>2044</v>
      </c>
      <c r="C42" s="291" t="n">
        <v>0.114</v>
      </c>
      <c r="D42" s="288" t="e">
        <f aca="false">IF('Emissions CO2'!$F$6="Mallorca",F42,IF('Emissions CO2'!$F$6="Menorca",G42,IF('Emissions CO2'!$F$6="Eivissa",H42,I42)))</f>
        <v>#N/A</v>
      </c>
      <c r="F42" s="288" t="n">
        <f aca="false">F41+(F$48-F$28)/20</f>
        <v>0.67</v>
      </c>
      <c r="G42" s="288" t="n">
        <f aca="false">G41+(G$48-G$28)/20</f>
        <v>0.67</v>
      </c>
      <c r="H42" s="288" t="n">
        <f aca="false">H41+(H$48-H$28)/20</f>
        <v>0.67</v>
      </c>
      <c r="I42" s="288" t="n">
        <f aca="false">I41+(I$48-I$28)/20</f>
        <v>0.67</v>
      </c>
    </row>
    <row r="43" customFormat="false" ht="13.8" hidden="false" customHeight="false" outlineLevel="0" collapsed="false">
      <c r="B43" s="287" t="n">
        <v>2045</v>
      </c>
      <c r="C43" s="291" t="n">
        <v>0.106</v>
      </c>
      <c r="D43" s="288" t="e">
        <f aca="false">IF('Emissions CO2'!$F$6="Mallorca",F43,IF('Emissions CO2'!$F$6="Menorca",G43,IF('Emissions CO2'!$F$6="Eivissa",H43,I43)))</f>
        <v>#N/A</v>
      </c>
      <c r="F43" s="288" t="n">
        <f aca="false">F42+(F$48-F$28)/20</f>
        <v>0.675</v>
      </c>
      <c r="G43" s="288" t="n">
        <f aca="false">G42+(G$48-G$28)/20</f>
        <v>0.675</v>
      </c>
      <c r="H43" s="288" t="n">
        <f aca="false">H42+(H$48-H$28)/20</f>
        <v>0.675</v>
      </c>
      <c r="I43" s="288" t="n">
        <f aca="false">I42+(I$48-I$28)/20</f>
        <v>0.675</v>
      </c>
    </row>
    <row r="44" customFormat="false" ht="13.8" hidden="false" customHeight="false" outlineLevel="0" collapsed="false">
      <c r="B44" s="287" t="n">
        <v>2046</v>
      </c>
      <c r="C44" s="291" t="n">
        <v>0.099</v>
      </c>
      <c r="D44" s="288" t="e">
        <f aca="false">IF('Emissions CO2'!$F$6="Mallorca",F44,IF('Emissions CO2'!$F$6="Menorca",G44,IF('Emissions CO2'!$F$6="Eivissa",H44,I44)))</f>
        <v>#N/A</v>
      </c>
      <c r="F44" s="288" t="n">
        <f aca="false">F43+(F$48-F$28)/20</f>
        <v>0.68</v>
      </c>
      <c r="G44" s="288" t="n">
        <f aca="false">G43+(G$48-G$28)/20</f>
        <v>0.68</v>
      </c>
      <c r="H44" s="288" t="n">
        <f aca="false">H43+(H$48-H$28)/20</f>
        <v>0.68</v>
      </c>
      <c r="I44" s="288" t="n">
        <f aca="false">I43+(I$48-I$28)/20</f>
        <v>0.68</v>
      </c>
    </row>
    <row r="45" customFormat="false" ht="13.8" hidden="false" customHeight="false" outlineLevel="0" collapsed="false">
      <c r="B45" s="287" t="n">
        <v>2047</v>
      </c>
      <c r="C45" s="291" t="n">
        <v>0.092</v>
      </c>
      <c r="D45" s="288" t="e">
        <f aca="false">IF('Emissions CO2'!$F$6="Mallorca",F45,IF('Emissions CO2'!$F$6="Menorca",G45,IF('Emissions CO2'!$F$6="Eivissa",H45,I45)))</f>
        <v>#N/A</v>
      </c>
      <c r="F45" s="288" t="n">
        <f aca="false">F44+(F$48-F$28)/20</f>
        <v>0.685</v>
      </c>
      <c r="G45" s="288" t="n">
        <f aca="false">G44+(G$48-G$28)/20</f>
        <v>0.685</v>
      </c>
      <c r="H45" s="288" t="n">
        <f aca="false">H44+(H$48-H$28)/20</f>
        <v>0.685</v>
      </c>
      <c r="I45" s="288" t="n">
        <f aca="false">I44+(I$48-I$28)/20</f>
        <v>0.685</v>
      </c>
    </row>
    <row r="46" customFormat="false" ht="13.8" hidden="false" customHeight="false" outlineLevel="0" collapsed="false">
      <c r="B46" s="287" t="n">
        <v>2048</v>
      </c>
      <c r="C46" s="291" t="n">
        <v>0.085</v>
      </c>
      <c r="D46" s="288" t="e">
        <f aca="false">IF('Emissions CO2'!$F$6="Mallorca",F46,IF('Emissions CO2'!$F$6="Menorca",G46,IF('Emissions CO2'!$F$6="Eivissa",H46,I46)))</f>
        <v>#N/A</v>
      </c>
      <c r="F46" s="288" t="n">
        <f aca="false">F45+(F$48-F$28)/20</f>
        <v>0.69</v>
      </c>
      <c r="G46" s="288" t="n">
        <f aca="false">G45+(G$48-G$28)/20</f>
        <v>0.69</v>
      </c>
      <c r="H46" s="288" t="n">
        <f aca="false">H45+(H$48-H$28)/20</f>
        <v>0.69</v>
      </c>
      <c r="I46" s="288" t="n">
        <f aca="false">I45+(I$48-I$28)/20</f>
        <v>0.69</v>
      </c>
    </row>
    <row r="47" customFormat="false" ht="13.8" hidden="false" customHeight="false" outlineLevel="0" collapsed="false">
      <c r="B47" s="287" t="n">
        <v>2049</v>
      </c>
      <c r="C47" s="291" t="n">
        <v>0.077</v>
      </c>
      <c r="D47" s="288" t="e">
        <f aca="false">IF('Emissions CO2'!$F$6="Mallorca",F47,IF('Emissions CO2'!$F$6="Menorca",G47,IF('Emissions CO2'!$F$6="Eivissa",H47,I47)))</f>
        <v>#N/A</v>
      </c>
      <c r="F47" s="288" t="n">
        <f aca="false">F46+(F$48-F$28)/20</f>
        <v>0.695</v>
      </c>
      <c r="G47" s="288" t="n">
        <f aca="false">G46+(G$48-G$28)/20</f>
        <v>0.695</v>
      </c>
      <c r="H47" s="288" t="n">
        <f aca="false">H46+(H$48-H$28)/20</f>
        <v>0.695</v>
      </c>
      <c r="I47" s="288" t="n">
        <f aca="false">I46+(I$48-I$28)/20</f>
        <v>0.695</v>
      </c>
    </row>
    <row r="48" customFormat="false" ht="13.8" hidden="false" customHeight="false" outlineLevel="0" collapsed="false">
      <c r="B48" s="287" t="n">
        <v>2050</v>
      </c>
      <c r="C48" s="291" t="n">
        <v>0.05</v>
      </c>
      <c r="D48" s="288" t="e">
        <f aca="false">IF('Emissions CO2'!$F$6="Mallorca",F48,IF('Emissions CO2'!$F$6="Menorca",G48,IF('Emissions CO2'!$F$6="Eivissa",H48,I48)))</f>
        <v>#N/A</v>
      </c>
      <c r="F48" s="289" t="n">
        <v>0.7</v>
      </c>
      <c r="G48" s="289" t="n">
        <v>0.7</v>
      </c>
      <c r="H48" s="289" t="n">
        <v>0.7</v>
      </c>
      <c r="I48" s="289" t="n">
        <v>0.7</v>
      </c>
    </row>
    <row r="49" customFormat="false" ht="13.8" hidden="false" customHeight="false" outlineLevel="0" collapsed="false">
      <c r="B49" s="287" t="n">
        <v>2051</v>
      </c>
      <c r="C49" s="291" t="n">
        <v>0.05</v>
      </c>
      <c r="D49" s="288" t="e">
        <f aca="false">IF('Emissions CO2'!$F$6="Mallorca",F49,IF('Emissions CO2'!$F$6="Menorca",G49,IF('Emissions CO2'!$F$6="Eivissa",H49,I49)))</f>
        <v>#N/A</v>
      </c>
      <c r="F49" s="288" t="n">
        <f aca="false">F48+(F$98-F$48)/50</f>
        <v>0.702</v>
      </c>
      <c r="G49" s="288" t="n">
        <f aca="false">G48+(G$98-G$48)/50</f>
        <v>0.702</v>
      </c>
      <c r="H49" s="288" t="n">
        <f aca="false">H48+(H$98-H$48)/50</f>
        <v>0.702</v>
      </c>
      <c r="I49" s="288" t="n">
        <f aca="false">I48+(I$98-I$48)/50</f>
        <v>0.702</v>
      </c>
    </row>
    <row r="50" customFormat="false" ht="13.8" hidden="false" customHeight="false" outlineLevel="0" collapsed="false">
      <c r="B50" s="287" t="n">
        <v>2052</v>
      </c>
      <c r="C50" s="291" t="n">
        <v>0.05</v>
      </c>
      <c r="D50" s="288" t="e">
        <f aca="false">IF('Emissions CO2'!$F$6="Mallorca",F50,IF('Emissions CO2'!$F$6="Menorca",G50,IF('Emissions CO2'!$F$6="Eivissa",H50,I50)))</f>
        <v>#N/A</v>
      </c>
      <c r="F50" s="288" t="n">
        <f aca="false">F49+(F$98-F$48)/50</f>
        <v>0.704</v>
      </c>
      <c r="G50" s="288" t="n">
        <f aca="false">G49+(G$98-G$48)/50</f>
        <v>0.704</v>
      </c>
      <c r="H50" s="288" t="n">
        <f aca="false">H49+(H$98-H$48)/50</f>
        <v>0.704</v>
      </c>
      <c r="I50" s="288" t="n">
        <f aca="false">I49+(I$98-I$48)/50</f>
        <v>0.704</v>
      </c>
    </row>
    <row r="51" customFormat="false" ht="13.8" hidden="false" customHeight="false" outlineLevel="0" collapsed="false">
      <c r="B51" s="287" t="n">
        <v>2053</v>
      </c>
      <c r="C51" s="291" t="n">
        <v>0.05</v>
      </c>
      <c r="D51" s="288" t="e">
        <f aca="false">IF('Emissions CO2'!$F$6="Mallorca",F51,IF('Emissions CO2'!$F$6="Menorca",G51,IF('Emissions CO2'!$F$6="Eivissa",H51,I51)))</f>
        <v>#N/A</v>
      </c>
      <c r="F51" s="288" t="n">
        <f aca="false">F50+(F$98-F$48)/50</f>
        <v>0.706</v>
      </c>
      <c r="G51" s="288" t="n">
        <f aca="false">G50+(G$98-G$48)/50</f>
        <v>0.706</v>
      </c>
      <c r="H51" s="288" t="n">
        <f aca="false">H50+(H$98-H$48)/50</f>
        <v>0.706</v>
      </c>
      <c r="I51" s="288" t="n">
        <f aca="false">I50+(I$98-I$48)/50</f>
        <v>0.706</v>
      </c>
    </row>
    <row r="52" customFormat="false" ht="13.8" hidden="false" customHeight="false" outlineLevel="0" collapsed="false">
      <c r="B52" s="287" t="n">
        <v>2054</v>
      </c>
      <c r="C52" s="291" t="n">
        <v>0.05</v>
      </c>
      <c r="D52" s="288" t="e">
        <f aca="false">IF('Emissions CO2'!$F$6="Mallorca",F52,IF('Emissions CO2'!$F$6="Menorca",G52,IF('Emissions CO2'!$F$6="Eivissa",H52,I52)))</f>
        <v>#N/A</v>
      </c>
      <c r="F52" s="288" t="n">
        <f aca="false">F51+(F$98-F$48)/50</f>
        <v>0.708</v>
      </c>
      <c r="G52" s="288" t="n">
        <f aca="false">G51+(G$98-G$48)/50</f>
        <v>0.708</v>
      </c>
      <c r="H52" s="288" t="n">
        <f aca="false">H51+(H$98-H$48)/50</f>
        <v>0.708</v>
      </c>
      <c r="I52" s="288" t="n">
        <f aca="false">I51+(I$98-I$48)/50</f>
        <v>0.708</v>
      </c>
    </row>
    <row r="53" customFormat="false" ht="13.8" hidden="false" customHeight="false" outlineLevel="0" collapsed="false">
      <c r="B53" s="287" t="n">
        <v>2055</v>
      </c>
      <c r="C53" s="291" t="n">
        <v>0.05</v>
      </c>
      <c r="D53" s="288" t="e">
        <f aca="false">IF('Emissions CO2'!$F$6="Mallorca",F53,IF('Emissions CO2'!$F$6="Menorca",G53,IF('Emissions CO2'!$F$6="Eivissa",H53,I53)))</f>
        <v>#N/A</v>
      </c>
      <c r="F53" s="288" t="n">
        <f aca="false">F52+(F$98-F$48)/50</f>
        <v>0.71</v>
      </c>
      <c r="G53" s="288" t="n">
        <f aca="false">G52+(G$98-G$48)/50</f>
        <v>0.71</v>
      </c>
      <c r="H53" s="288" t="n">
        <f aca="false">H52+(H$98-H$48)/50</f>
        <v>0.71</v>
      </c>
      <c r="I53" s="288" t="n">
        <f aca="false">I52+(I$98-I$48)/50</f>
        <v>0.71</v>
      </c>
    </row>
    <row r="54" customFormat="false" ht="13.8" hidden="false" customHeight="false" outlineLevel="0" collapsed="false">
      <c r="B54" s="287" t="n">
        <v>2056</v>
      </c>
      <c r="C54" s="291" t="n">
        <v>0.05</v>
      </c>
      <c r="D54" s="288" t="e">
        <f aca="false">IF('Emissions CO2'!$F$6="Mallorca",F54,IF('Emissions CO2'!$F$6="Menorca",G54,IF('Emissions CO2'!$F$6="Eivissa",H54,I54)))</f>
        <v>#N/A</v>
      </c>
      <c r="F54" s="288" t="n">
        <f aca="false">F53+(F$98-F$48)/50</f>
        <v>0.712</v>
      </c>
      <c r="G54" s="288" t="n">
        <f aca="false">G53+(G$98-G$48)/50</f>
        <v>0.712</v>
      </c>
      <c r="H54" s="288" t="n">
        <f aca="false">H53+(H$98-H$48)/50</f>
        <v>0.712</v>
      </c>
      <c r="I54" s="288" t="n">
        <f aca="false">I53+(I$98-I$48)/50</f>
        <v>0.712</v>
      </c>
    </row>
    <row r="55" customFormat="false" ht="13.8" hidden="false" customHeight="false" outlineLevel="0" collapsed="false">
      <c r="B55" s="287" t="n">
        <v>2057</v>
      </c>
      <c r="C55" s="291" t="n">
        <v>0.05</v>
      </c>
      <c r="D55" s="288" t="e">
        <f aca="false">IF('Emissions CO2'!$F$6="Mallorca",F55,IF('Emissions CO2'!$F$6="Menorca",G55,IF('Emissions CO2'!$F$6="Eivissa",H55,I55)))</f>
        <v>#N/A</v>
      </c>
      <c r="F55" s="288" t="n">
        <f aca="false">F54+(F$98-F$48)/50</f>
        <v>0.714</v>
      </c>
      <c r="G55" s="288" t="n">
        <f aca="false">G54+(G$98-G$48)/50</f>
        <v>0.714</v>
      </c>
      <c r="H55" s="288" t="n">
        <f aca="false">H54+(H$98-H$48)/50</f>
        <v>0.714</v>
      </c>
      <c r="I55" s="288" t="n">
        <f aca="false">I54+(I$98-I$48)/50</f>
        <v>0.714</v>
      </c>
    </row>
    <row r="56" customFormat="false" ht="13.8" hidden="false" customHeight="false" outlineLevel="0" collapsed="false">
      <c r="B56" s="287" t="n">
        <v>2058</v>
      </c>
      <c r="C56" s="291" t="n">
        <v>0.05</v>
      </c>
      <c r="D56" s="288" t="e">
        <f aca="false">IF('Emissions CO2'!$F$6="Mallorca",F56,IF('Emissions CO2'!$F$6="Menorca",G56,IF('Emissions CO2'!$F$6="Eivissa",H56,I56)))</f>
        <v>#N/A</v>
      </c>
      <c r="F56" s="288" t="n">
        <f aca="false">F55+(F$98-F$48)/50</f>
        <v>0.716</v>
      </c>
      <c r="G56" s="288" t="n">
        <f aca="false">G55+(G$98-G$48)/50</f>
        <v>0.716</v>
      </c>
      <c r="H56" s="288" t="n">
        <f aca="false">H55+(H$98-H$48)/50</f>
        <v>0.716</v>
      </c>
      <c r="I56" s="288" t="n">
        <f aca="false">I55+(I$98-I$48)/50</f>
        <v>0.716</v>
      </c>
    </row>
    <row r="57" customFormat="false" ht="13.8" hidden="false" customHeight="false" outlineLevel="0" collapsed="false">
      <c r="B57" s="287" t="n">
        <v>2059</v>
      </c>
      <c r="C57" s="291" t="n">
        <v>0.05</v>
      </c>
      <c r="D57" s="288" t="e">
        <f aca="false">IF('Emissions CO2'!$F$6="Mallorca",F57,IF('Emissions CO2'!$F$6="Menorca",G57,IF('Emissions CO2'!$F$6="Eivissa",H57,I57)))</f>
        <v>#N/A</v>
      </c>
      <c r="F57" s="288" t="n">
        <f aca="false">F56+(F$98-F$48)/50</f>
        <v>0.718</v>
      </c>
      <c r="G57" s="288" t="n">
        <f aca="false">G56+(G$98-G$48)/50</f>
        <v>0.718</v>
      </c>
      <c r="H57" s="288" t="n">
        <f aca="false">H56+(H$98-H$48)/50</f>
        <v>0.718</v>
      </c>
      <c r="I57" s="288" t="n">
        <f aca="false">I56+(I$98-I$48)/50</f>
        <v>0.718</v>
      </c>
    </row>
    <row r="58" customFormat="false" ht="13.8" hidden="false" customHeight="false" outlineLevel="0" collapsed="false">
      <c r="B58" s="287" t="n">
        <v>2060</v>
      </c>
      <c r="C58" s="291" t="n">
        <v>0.05</v>
      </c>
      <c r="D58" s="288" t="e">
        <f aca="false">IF('Emissions CO2'!$F$6="Mallorca",F58,IF('Emissions CO2'!$F$6="Menorca",G58,IF('Emissions CO2'!$F$6="Eivissa",H58,I58)))</f>
        <v>#N/A</v>
      </c>
      <c r="F58" s="288" t="n">
        <f aca="false">F57+(F$98-F$48)/50</f>
        <v>0.72</v>
      </c>
      <c r="G58" s="288" t="n">
        <f aca="false">G57+(G$98-G$48)/50</f>
        <v>0.72</v>
      </c>
      <c r="H58" s="288" t="n">
        <f aca="false">H57+(H$98-H$48)/50</f>
        <v>0.72</v>
      </c>
      <c r="I58" s="288" t="n">
        <f aca="false">I57+(I$98-I$48)/50</f>
        <v>0.72</v>
      </c>
    </row>
    <row r="59" customFormat="false" ht="13.8" hidden="false" customHeight="false" outlineLevel="0" collapsed="false">
      <c r="B59" s="287" t="n">
        <v>2061</v>
      </c>
      <c r="C59" s="291" t="n">
        <v>0.05</v>
      </c>
      <c r="D59" s="288" t="e">
        <f aca="false">IF('Emissions CO2'!$F$6="Mallorca",F59,IF('Emissions CO2'!$F$6="Menorca",G59,IF('Emissions CO2'!$F$6="Eivissa",H59,I59)))</f>
        <v>#N/A</v>
      </c>
      <c r="F59" s="288" t="n">
        <f aca="false">F58+(F$98-F$48)/50</f>
        <v>0.722</v>
      </c>
      <c r="G59" s="288" t="n">
        <f aca="false">G58+(G$98-G$48)/50</f>
        <v>0.722</v>
      </c>
      <c r="H59" s="288" t="n">
        <f aca="false">H58+(H$98-H$48)/50</f>
        <v>0.722</v>
      </c>
      <c r="I59" s="288" t="n">
        <f aca="false">I58+(I$98-I$48)/50</f>
        <v>0.722</v>
      </c>
    </row>
    <row r="60" customFormat="false" ht="13.8" hidden="false" customHeight="false" outlineLevel="0" collapsed="false">
      <c r="B60" s="287" t="n">
        <v>2062</v>
      </c>
      <c r="C60" s="291" t="n">
        <v>0.05</v>
      </c>
      <c r="D60" s="288" t="e">
        <f aca="false">IF('Emissions CO2'!$F$6="Mallorca",F60,IF('Emissions CO2'!$F$6="Menorca",G60,IF('Emissions CO2'!$F$6="Eivissa",H60,I60)))</f>
        <v>#N/A</v>
      </c>
      <c r="F60" s="288" t="n">
        <f aca="false">F59+(F$98-F$48)/50</f>
        <v>0.724</v>
      </c>
      <c r="G60" s="288" t="n">
        <f aca="false">G59+(G$98-G$48)/50</f>
        <v>0.724</v>
      </c>
      <c r="H60" s="288" t="n">
        <f aca="false">H59+(H$98-H$48)/50</f>
        <v>0.724</v>
      </c>
      <c r="I60" s="288" t="n">
        <f aca="false">I59+(I$98-I$48)/50</f>
        <v>0.724</v>
      </c>
    </row>
    <row r="61" customFormat="false" ht="13.8" hidden="false" customHeight="false" outlineLevel="0" collapsed="false">
      <c r="B61" s="287" t="n">
        <v>2063</v>
      </c>
      <c r="C61" s="291" t="n">
        <v>0.05</v>
      </c>
      <c r="D61" s="288" t="e">
        <f aca="false">IF('Emissions CO2'!$F$6="Mallorca",F61,IF('Emissions CO2'!$F$6="Menorca",G61,IF('Emissions CO2'!$F$6="Eivissa",H61,I61)))</f>
        <v>#N/A</v>
      </c>
      <c r="F61" s="288" t="n">
        <f aca="false">F60+(F$98-F$48)/50</f>
        <v>0.726</v>
      </c>
      <c r="G61" s="288" t="n">
        <f aca="false">G60+(G$98-G$48)/50</f>
        <v>0.726</v>
      </c>
      <c r="H61" s="288" t="n">
        <f aca="false">H60+(H$98-H$48)/50</f>
        <v>0.726</v>
      </c>
      <c r="I61" s="288" t="n">
        <f aca="false">I60+(I$98-I$48)/50</f>
        <v>0.726</v>
      </c>
    </row>
    <row r="62" customFormat="false" ht="13.8" hidden="false" customHeight="false" outlineLevel="0" collapsed="false">
      <c r="B62" s="287" t="n">
        <v>2064</v>
      </c>
      <c r="C62" s="291" t="n">
        <v>0.05</v>
      </c>
      <c r="D62" s="288" t="e">
        <f aca="false">IF('Emissions CO2'!$F$6="Mallorca",F62,IF('Emissions CO2'!$F$6="Menorca",G62,IF('Emissions CO2'!$F$6="Eivissa",H62,I62)))</f>
        <v>#N/A</v>
      </c>
      <c r="F62" s="288" t="n">
        <f aca="false">F61+(F$98-F$48)/50</f>
        <v>0.728</v>
      </c>
      <c r="G62" s="288" t="n">
        <f aca="false">G61+(G$98-G$48)/50</f>
        <v>0.728</v>
      </c>
      <c r="H62" s="288" t="n">
        <f aca="false">H61+(H$98-H$48)/50</f>
        <v>0.728</v>
      </c>
      <c r="I62" s="288" t="n">
        <f aca="false">I61+(I$98-I$48)/50</f>
        <v>0.728</v>
      </c>
    </row>
    <row r="63" customFormat="false" ht="13.8" hidden="false" customHeight="false" outlineLevel="0" collapsed="false">
      <c r="B63" s="287" t="n">
        <v>2065</v>
      </c>
      <c r="C63" s="291" t="n">
        <v>0.05</v>
      </c>
      <c r="D63" s="288" t="e">
        <f aca="false">IF('Emissions CO2'!$F$6="Mallorca",F63,IF('Emissions CO2'!$F$6="Menorca",G63,IF('Emissions CO2'!$F$6="Eivissa",H63,I63)))</f>
        <v>#N/A</v>
      </c>
      <c r="F63" s="288" t="n">
        <f aca="false">F62+(F$98-F$48)/50</f>
        <v>0.73</v>
      </c>
      <c r="G63" s="288" t="n">
        <f aca="false">G62+(G$98-G$48)/50</f>
        <v>0.73</v>
      </c>
      <c r="H63" s="288" t="n">
        <f aca="false">H62+(H$98-H$48)/50</f>
        <v>0.73</v>
      </c>
      <c r="I63" s="288" t="n">
        <f aca="false">I62+(I$98-I$48)/50</f>
        <v>0.73</v>
      </c>
    </row>
    <row r="64" customFormat="false" ht="13.8" hidden="false" customHeight="false" outlineLevel="0" collapsed="false">
      <c r="B64" s="287" t="n">
        <v>2066</v>
      </c>
      <c r="C64" s="291" t="n">
        <v>0.05</v>
      </c>
      <c r="D64" s="288" t="e">
        <f aca="false">IF('Emissions CO2'!$F$6="Mallorca",F64,IF('Emissions CO2'!$F$6="Menorca",G64,IF('Emissions CO2'!$F$6="Eivissa",H64,I64)))</f>
        <v>#N/A</v>
      </c>
      <c r="F64" s="288" t="n">
        <f aca="false">F63+(F$98-F$48)/50</f>
        <v>0.732</v>
      </c>
      <c r="G64" s="288" t="n">
        <f aca="false">G63+(G$98-G$48)/50</f>
        <v>0.732</v>
      </c>
      <c r="H64" s="288" t="n">
        <f aca="false">H63+(H$98-H$48)/50</f>
        <v>0.732</v>
      </c>
      <c r="I64" s="288" t="n">
        <f aca="false">I63+(I$98-I$48)/50</f>
        <v>0.732</v>
      </c>
    </row>
    <row r="65" customFormat="false" ht="13.8" hidden="false" customHeight="false" outlineLevel="0" collapsed="false">
      <c r="B65" s="287" t="n">
        <v>2067</v>
      </c>
      <c r="C65" s="291" t="n">
        <v>0.05</v>
      </c>
      <c r="D65" s="288" t="e">
        <f aca="false">IF('Emissions CO2'!$F$6="Mallorca",F65,IF('Emissions CO2'!$F$6="Menorca",G65,IF('Emissions CO2'!$F$6="Eivissa",H65,I65)))</f>
        <v>#N/A</v>
      </c>
      <c r="F65" s="288" t="n">
        <f aca="false">F64+(F$98-F$48)/50</f>
        <v>0.734</v>
      </c>
      <c r="G65" s="288" t="n">
        <f aca="false">G64+(G$98-G$48)/50</f>
        <v>0.734</v>
      </c>
      <c r="H65" s="288" t="n">
        <f aca="false">H64+(H$98-H$48)/50</f>
        <v>0.734</v>
      </c>
      <c r="I65" s="288" t="n">
        <f aca="false">I64+(I$98-I$48)/50</f>
        <v>0.734</v>
      </c>
    </row>
    <row r="66" customFormat="false" ht="13.8" hidden="false" customHeight="false" outlineLevel="0" collapsed="false">
      <c r="B66" s="287" t="n">
        <v>2068</v>
      </c>
      <c r="C66" s="291" t="n">
        <v>0.05</v>
      </c>
      <c r="D66" s="288" t="e">
        <f aca="false">IF('Emissions CO2'!$F$6="Mallorca",F66,IF('Emissions CO2'!$F$6="Menorca",G66,IF('Emissions CO2'!$F$6="Eivissa",H66,I66)))</f>
        <v>#N/A</v>
      </c>
      <c r="F66" s="288" t="n">
        <f aca="false">F65+(F$98-F$48)/50</f>
        <v>0.736</v>
      </c>
      <c r="G66" s="288" t="n">
        <f aca="false">G65+(G$98-G$48)/50</f>
        <v>0.736</v>
      </c>
      <c r="H66" s="288" t="n">
        <f aca="false">H65+(H$98-H$48)/50</f>
        <v>0.736</v>
      </c>
      <c r="I66" s="288" t="n">
        <f aca="false">I65+(I$98-I$48)/50</f>
        <v>0.736</v>
      </c>
    </row>
    <row r="67" customFormat="false" ht="13.8" hidden="false" customHeight="false" outlineLevel="0" collapsed="false">
      <c r="B67" s="287" t="n">
        <v>2069</v>
      </c>
      <c r="C67" s="291" t="n">
        <v>0.05</v>
      </c>
      <c r="D67" s="288" t="e">
        <f aca="false">IF('Emissions CO2'!$F$6="Mallorca",F67,IF('Emissions CO2'!$F$6="Menorca",G67,IF('Emissions CO2'!$F$6="Eivissa",H67,I67)))</f>
        <v>#N/A</v>
      </c>
      <c r="F67" s="288" t="n">
        <f aca="false">F66+(F$98-F$48)/50</f>
        <v>0.738</v>
      </c>
      <c r="G67" s="288" t="n">
        <f aca="false">G66+(G$98-G$48)/50</f>
        <v>0.738</v>
      </c>
      <c r="H67" s="288" t="n">
        <f aca="false">H66+(H$98-H$48)/50</f>
        <v>0.738</v>
      </c>
      <c r="I67" s="288" t="n">
        <f aca="false">I66+(I$98-I$48)/50</f>
        <v>0.738</v>
      </c>
    </row>
    <row r="68" customFormat="false" ht="13.8" hidden="false" customHeight="false" outlineLevel="0" collapsed="false">
      <c r="B68" s="287" t="n">
        <v>2070</v>
      </c>
      <c r="C68" s="291" t="n">
        <v>0.05</v>
      </c>
      <c r="D68" s="288" t="e">
        <f aca="false">IF('Emissions CO2'!$F$6="Mallorca",F68,IF('Emissions CO2'!$F$6="Menorca",G68,IF('Emissions CO2'!$F$6="Eivissa",H68,I68)))</f>
        <v>#N/A</v>
      </c>
      <c r="F68" s="288" t="n">
        <f aca="false">F67+(F$98-F$48)/50</f>
        <v>0.74</v>
      </c>
      <c r="G68" s="288" t="n">
        <f aca="false">G67+(G$98-G$48)/50</f>
        <v>0.74</v>
      </c>
      <c r="H68" s="288" t="n">
        <f aca="false">H67+(H$98-H$48)/50</f>
        <v>0.74</v>
      </c>
      <c r="I68" s="288" t="n">
        <f aca="false">I67+(I$98-I$48)/50</f>
        <v>0.74</v>
      </c>
    </row>
    <row r="69" customFormat="false" ht="13.8" hidden="false" customHeight="false" outlineLevel="0" collapsed="false">
      <c r="B69" s="287" t="n">
        <v>2071</v>
      </c>
      <c r="C69" s="291" t="n">
        <v>0.05</v>
      </c>
      <c r="D69" s="288" t="e">
        <f aca="false">IF('Emissions CO2'!$F$6="Mallorca",F69,IF('Emissions CO2'!$F$6="Menorca",G69,IF('Emissions CO2'!$F$6="Eivissa",H69,I69)))</f>
        <v>#N/A</v>
      </c>
      <c r="F69" s="288" t="n">
        <f aca="false">F68+(F$98-F$48)/50</f>
        <v>0.742</v>
      </c>
      <c r="G69" s="288" t="n">
        <f aca="false">G68+(G$98-G$48)/50</f>
        <v>0.742</v>
      </c>
      <c r="H69" s="288" t="n">
        <f aca="false">H68+(H$98-H$48)/50</f>
        <v>0.742</v>
      </c>
      <c r="I69" s="288" t="n">
        <f aca="false">I68+(I$98-I$48)/50</f>
        <v>0.742</v>
      </c>
    </row>
    <row r="70" customFormat="false" ht="13.8" hidden="false" customHeight="false" outlineLevel="0" collapsed="false">
      <c r="B70" s="287" t="n">
        <v>2072</v>
      </c>
      <c r="C70" s="291" t="n">
        <v>0.05</v>
      </c>
      <c r="D70" s="288" t="e">
        <f aca="false">IF('Emissions CO2'!$F$6="Mallorca",F70,IF('Emissions CO2'!$F$6="Menorca",G70,IF('Emissions CO2'!$F$6="Eivissa",H70,I70)))</f>
        <v>#N/A</v>
      </c>
      <c r="F70" s="288" t="n">
        <f aca="false">F69+(F$98-F$48)/50</f>
        <v>0.744</v>
      </c>
      <c r="G70" s="288" t="n">
        <f aca="false">G69+(G$98-G$48)/50</f>
        <v>0.744</v>
      </c>
      <c r="H70" s="288" t="n">
        <f aca="false">H69+(H$98-H$48)/50</f>
        <v>0.744</v>
      </c>
      <c r="I70" s="288" t="n">
        <f aca="false">I69+(I$98-I$48)/50</f>
        <v>0.744</v>
      </c>
    </row>
    <row r="71" customFormat="false" ht="13.8" hidden="false" customHeight="false" outlineLevel="0" collapsed="false">
      <c r="B71" s="287" t="n">
        <v>2073</v>
      </c>
      <c r="C71" s="291" t="n">
        <v>0.05</v>
      </c>
      <c r="D71" s="288" t="e">
        <f aca="false">IF('Emissions CO2'!$F$6="Mallorca",F71,IF('Emissions CO2'!$F$6="Menorca",G71,IF('Emissions CO2'!$F$6="Eivissa",H71,I71)))</f>
        <v>#N/A</v>
      </c>
      <c r="F71" s="288" t="n">
        <f aca="false">F70+(F$98-F$48)/50</f>
        <v>0.746</v>
      </c>
      <c r="G71" s="288" t="n">
        <f aca="false">G70+(G$98-G$48)/50</f>
        <v>0.746</v>
      </c>
      <c r="H71" s="288" t="n">
        <f aca="false">H70+(H$98-H$48)/50</f>
        <v>0.746</v>
      </c>
      <c r="I71" s="288" t="n">
        <f aca="false">I70+(I$98-I$48)/50</f>
        <v>0.746</v>
      </c>
    </row>
    <row r="72" customFormat="false" ht="13.8" hidden="false" customHeight="false" outlineLevel="0" collapsed="false">
      <c r="B72" s="287" t="n">
        <v>2074</v>
      </c>
      <c r="C72" s="291" t="n">
        <v>0.05</v>
      </c>
      <c r="D72" s="288" t="e">
        <f aca="false">IF('Emissions CO2'!$F$6="Mallorca",F72,IF('Emissions CO2'!$F$6="Menorca",G72,IF('Emissions CO2'!$F$6="Eivissa",H72,I72)))</f>
        <v>#N/A</v>
      </c>
      <c r="F72" s="288" t="n">
        <f aca="false">F71+(F$98-F$48)/50</f>
        <v>0.748</v>
      </c>
      <c r="G72" s="288" t="n">
        <f aca="false">G71+(G$98-G$48)/50</f>
        <v>0.748</v>
      </c>
      <c r="H72" s="288" t="n">
        <f aca="false">H71+(H$98-H$48)/50</f>
        <v>0.748</v>
      </c>
      <c r="I72" s="288" t="n">
        <f aca="false">I71+(I$98-I$48)/50</f>
        <v>0.748</v>
      </c>
    </row>
    <row r="73" customFormat="false" ht="13.8" hidden="false" customHeight="false" outlineLevel="0" collapsed="false">
      <c r="B73" s="287" t="n">
        <v>2075</v>
      </c>
      <c r="C73" s="291" t="n">
        <v>0.05</v>
      </c>
      <c r="D73" s="288" t="e">
        <f aca="false">IF('Emissions CO2'!$F$6="Mallorca",F73,IF('Emissions CO2'!$F$6="Menorca",G73,IF('Emissions CO2'!$F$6="Eivissa",H73,I73)))</f>
        <v>#N/A</v>
      </c>
      <c r="F73" s="288" t="n">
        <f aca="false">F72+(F$98-F$48)/50</f>
        <v>0.75</v>
      </c>
      <c r="G73" s="288" t="n">
        <f aca="false">G72+(G$98-G$48)/50</f>
        <v>0.75</v>
      </c>
      <c r="H73" s="288" t="n">
        <f aca="false">H72+(H$98-H$48)/50</f>
        <v>0.75</v>
      </c>
      <c r="I73" s="288" t="n">
        <f aca="false">I72+(I$98-I$48)/50</f>
        <v>0.75</v>
      </c>
    </row>
    <row r="74" customFormat="false" ht="13.8" hidden="false" customHeight="false" outlineLevel="0" collapsed="false">
      <c r="B74" s="287" t="n">
        <v>2076</v>
      </c>
      <c r="C74" s="291" t="n">
        <v>0.05</v>
      </c>
      <c r="D74" s="288" t="e">
        <f aca="false">IF('Emissions CO2'!$F$6="Mallorca",F74,IF('Emissions CO2'!$F$6="Menorca",G74,IF('Emissions CO2'!$F$6="Eivissa",H74,I74)))</f>
        <v>#N/A</v>
      </c>
      <c r="F74" s="288" t="n">
        <f aca="false">F73+(F$98-F$48)/50</f>
        <v>0.752</v>
      </c>
      <c r="G74" s="288" t="n">
        <f aca="false">G73+(G$98-G$48)/50</f>
        <v>0.752</v>
      </c>
      <c r="H74" s="288" t="n">
        <f aca="false">H73+(H$98-H$48)/50</f>
        <v>0.752</v>
      </c>
      <c r="I74" s="288" t="n">
        <f aca="false">I73+(I$98-I$48)/50</f>
        <v>0.752</v>
      </c>
    </row>
    <row r="75" customFormat="false" ht="13.8" hidden="false" customHeight="false" outlineLevel="0" collapsed="false">
      <c r="B75" s="287" t="n">
        <v>2077</v>
      </c>
      <c r="C75" s="291" t="n">
        <v>0.05</v>
      </c>
      <c r="D75" s="288" t="e">
        <f aca="false">IF('Emissions CO2'!$F$6="Mallorca",F75,IF('Emissions CO2'!$F$6="Menorca",G75,IF('Emissions CO2'!$F$6="Eivissa",H75,I75)))</f>
        <v>#N/A</v>
      </c>
      <c r="F75" s="288" t="n">
        <f aca="false">F74+(F$98-F$48)/50</f>
        <v>0.754</v>
      </c>
      <c r="G75" s="288" t="n">
        <f aca="false">G74+(G$98-G$48)/50</f>
        <v>0.754</v>
      </c>
      <c r="H75" s="288" t="n">
        <f aca="false">H74+(H$98-H$48)/50</f>
        <v>0.754</v>
      </c>
      <c r="I75" s="288" t="n">
        <f aca="false">I74+(I$98-I$48)/50</f>
        <v>0.754</v>
      </c>
    </row>
    <row r="76" customFormat="false" ht="13.8" hidden="false" customHeight="false" outlineLevel="0" collapsed="false">
      <c r="B76" s="287" t="n">
        <v>2078</v>
      </c>
      <c r="C76" s="291" t="n">
        <v>0.05</v>
      </c>
      <c r="D76" s="288" t="e">
        <f aca="false">IF('Emissions CO2'!$F$6="Mallorca",F76,IF('Emissions CO2'!$F$6="Menorca",G76,IF('Emissions CO2'!$F$6="Eivissa",H76,I76)))</f>
        <v>#N/A</v>
      </c>
      <c r="F76" s="288" t="n">
        <f aca="false">F75+(F$98-F$48)/50</f>
        <v>0.756</v>
      </c>
      <c r="G76" s="288" t="n">
        <f aca="false">G75+(G$98-G$48)/50</f>
        <v>0.756</v>
      </c>
      <c r="H76" s="288" t="n">
        <f aca="false">H75+(H$98-H$48)/50</f>
        <v>0.756</v>
      </c>
      <c r="I76" s="288" t="n">
        <f aca="false">I75+(I$98-I$48)/50</f>
        <v>0.756</v>
      </c>
    </row>
    <row r="77" customFormat="false" ht="13.8" hidden="false" customHeight="false" outlineLevel="0" collapsed="false">
      <c r="B77" s="287" t="n">
        <v>2079</v>
      </c>
      <c r="C77" s="291" t="n">
        <v>0.05</v>
      </c>
      <c r="D77" s="288" t="e">
        <f aca="false">IF('Emissions CO2'!$F$6="Mallorca",F77,IF('Emissions CO2'!$F$6="Menorca",G77,IF('Emissions CO2'!$F$6="Eivissa",H77,I77)))</f>
        <v>#N/A</v>
      </c>
      <c r="F77" s="288" t="n">
        <f aca="false">F76+(F$98-F$48)/50</f>
        <v>0.758</v>
      </c>
      <c r="G77" s="288" t="n">
        <f aca="false">G76+(G$98-G$48)/50</f>
        <v>0.758</v>
      </c>
      <c r="H77" s="288" t="n">
        <f aca="false">H76+(H$98-H$48)/50</f>
        <v>0.758</v>
      </c>
      <c r="I77" s="288" t="n">
        <f aca="false">I76+(I$98-I$48)/50</f>
        <v>0.758</v>
      </c>
    </row>
    <row r="78" customFormat="false" ht="13.8" hidden="false" customHeight="false" outlineLevel="0" collapsed="false">
      <c r="B78" s="287" t="n">
        <v>2080</v>
      </c>
      <c r="C78" s="291" t="n">
        <v>0.05</v>
      </c>
      <c r="D78" s="288" t="e">
        <f aca="false">IF('Emissions CO2'!$F$6="Mallorca",F78,IF('Emissions CO2'!$F$6="Menorca",G78,IF('Emissions CO2'!$F$6="Eivissa",H78,I78)))</f>
        <v>#N/A</v>
      </c>
      <c r="F78" s="288" t="n">
        <f aca="false">F77+(F$98-F$48)/50</f>
        <v>0.76</v>
      </c>
      <c r="G78" s="288" t="n">
        <f aca="false">G77+(G$98-G$48)/50</f>
        <v>0.76</v>
      </c>
      <c r="H78" s="288" t="n">
        <f aca="false">H77+(H$98-H$48)/50</f>
        <v>0.76</v>
      </c>
      <c r="I78" s="288" t="n">
        <f aca="false">I77+(I$98-I$48)/50</f>
        <v>0.76</v>
      </c>
    </row>
    <row r="79" customFormat="false" ht="13.8" hidden="false" customHeight="false" outlineLevel="0" collapsed="false">
      <c r="B79" s="287" t="n">
        <v>2081</v>
      </c>
      <c r="C79" s="291" t="n">
        <v>0.05</v>
      </c>
      <c r="D79" s="288" t="e">
        <f aca="false">IF('Emissions CO2'!$F$6="Mallorca",F79,IF('Emissions CO2'!$F$6="Menorca",G79,IF('Emissions CO2'!$F$6="Eivissa",H79,I79)))</f>
        <v>#N/A</v>
      </c>
      <c r="F79" s="288" t="n">
        <f aca="false">F78+(F$98-F$48)/50</f>
        <v>0.762</v>
      </c>
      <c r="G79" s="288" t="n">
        <f aca="false">G78+(G$98-G$48)/50</f>
        <v>0.762</v>
      </c>
      <c r="H79" s="288" t="n">
        <f aca="false">H78+(H$98-H$48)/50</f>
        <v>0.762</v>
      </c>
      <c r="I79" s="288" t="n">
        <f aca="false">I78+(I$98-I$48)/50</f>
        <v>0.762</v>
      </c>
    </row>
    <row r="80" customFormat="false" ht="13.8" hidden="false" customHeight="false" outlineLevel="0" collapsed="false">
      <c r="B80" s="287" t="n">
        <v>2082</v>
      </c>
      <c r="C80" s="291" t="n">
        <v>0.05</v>
      </c>
      <c r="D80" s="288" t="e">
        <f aca="false">IF('Emissions CO2'!$F$6="Mallorca",F80,IF('Emissions CO2'!$F$6="Menorca",G80,IF('Emissions CO2'!$F$6="Eivissa",H80,I80)))</f>
        <v>#N/A</v>
      </c>
      <c r="F80" s="288" t="n">
        <f aca="false">F79+(F$98-F$48)/50</f>
        <v>0.764</v>
      </c>
      <c r="G80" s="288" t="n">
        <f aca="false">G79+(G$98-G$48)/50</f>
        <v>0.764</v>
      </c>
      <c r="H80" s="288" t="n">
        <f aca="false">H79+(H$98-H$48)/50</f>
        <v>0.764</v>
      </c>
      <c r="I80" s="288" t="n">
        <f aca="false">I79+(I$98-I$48)/50</f>
        <v>0.764</v>
      </c>
    </row>
    <row r="81" customFormat="false" ht="13.8" hidden="false" customHeight="false" outlineLevel="0" collapsed="false">
      <c r="B81" s="287" t="n">
        <v>2083</v>
      </c>
      <c r="C81" s="291" t="n">
        <v>0.05</v>
      </c>
      <c r="D81" s="288" t="e">
        <f aca="false">IF('Emissions CO2'!$F$6="Mallorca",F81,IF('Emissions CO2'!$F$6="Menorca",G81,IF('Emissions CO2'!$F$6="Eivissa",H81,I81)))</f>
        <v>#N/A</v>
      </c>
      <c r="F81" s="288" t="n">
        <f aca="false">F80+(F$98-F$48)/50</f>
        <v>0.766</v>
      </c>
      <c r="G81" s="288" t="n">
        <f aca="false">G80+(G$98-G$48)/50</f>
        <v>0.766</v>
      </c>
      <c r="H81" s="288" t="n">
        <f aca="false">H80+(H$98-H$48)/50</f>
        <v>0.766</v>
      </c>
      <c r="I81" s="288" t="n">
        <f aca="false">I80+(I$98-I$48)/50</f>
        <v>0.766</v>
      </c>
    </row>
    <row r="82" customFormat="false" ht="13.8" hidden="false" customHeight="false" outlineLevel="0" collapsed="false">
      <c r="B82" s="287" t="n">
        <v>2084</v>
      </c>
      <c r="C82" s="291" t="n">
        <v>0.05</v>
      </c>
      <c r="D82" s="288" t="e">
        <f aca="false">IF('Emissions CO2'!$F$6="Mallorca",F82,IF('Emissions CO2'!$F$6="Menorca",G82,IF('Emissions CO2'!$F$6="Eivissa",H82,I82)))</f>
        <v>#N/A</v>
      </c>
      <c r="F82" s="288" t="n">
        <f aca="false">F81+(F$98-F$48)/50</f>
        <v>0.768</v>
      </c>
      <c r="G82" s="288" t="n">
        <f aca="false">G81+(G$98-G$48)/50</f>
        <v>0.768</v>
      </c>
      <c r="H82" s="288" t="n">
        <f aca="false">H81+(H$98-H$48)/50</f>
        <v>0.768</v>
      </c>
      <c r="I82" s="288" t="n">
        <f aca="false">I81+(I$98-I$48)/50</f>
        <v>0.768</v>
      </c>
    </row>
    <row r="83" customFormat="false" ht="13.8" hidden="false" customHeight="false" outlineLevel="0" collapsed="false">
      <c r="B83" s="287" t="n">
        <v>2085</v>
      </c>
      <c r="C83" s="291" t="n">
        <v>0.05</v>
      </c>
      <c r="D83" s="288" t="e">
        <f aca="false">IF('Emissions CO2'!$F$6="Mallorca",F83,IF('Emissions CO2'!$F$6="Menorca",G83,IF('Emissions CO2'!$F$6="Eivissa",H83,I83)))</f>
        <v>#N/A</v>
      </c>
      <c r="F83" s="288" t="n">
        <f aca="false">F82+(F$98-F$48)/50</f>
        <v>0.77</v>
      </c>
      <c r="G83" s="288" t="n">
        <f aca="false">G82+(G$98-G$48)/50</f>
        <v>0.77</v>
      </c>
      <c r="H83" s="288" t="n">
        <f aca="false">H82+(H$98-H$48)/50</f>
        <v>0.77</v>
      </c>
      <c r="I83" s="288" t="n">
        <f aca="false">I82+(I$98-I$48)/50</f>
        <v>0.77</v>
      </c>
    </row>
    <row r="84" customFormat="false" ht="13.8" hidden="false" customHeight="false" outlineLevel="0" collapsed="false">
      <c r="B84" s="287" t="n">
        <v>2086</v>
      </c>
      <c r="C84" s="291" t="n">
        <v>0.05</v>
      </c>
      <c r="D84" s="288" t="e">
        <f aca="false">IF('Emissions CO2'!$F$6="Mallorca",F84,IF('Emissions CO2'!$F$6="Menorca",G84,IF('Emissions CO2'!$F$6="Eivissa",H84,I84)))</f>
        <v>#N/A</v>
      </c>
      <c r="F84" s="288" t="n">
        <f aca="false">F83+(F$98-F$48)/50</f>
        <v>0.772</v>
      </c>
      <c r="G84" s="288" t="n">
        <f aca="false">G83+(G$98-G$48)/50</f>
        <v>0.772</v>
      </c>
      <c r="H84" s="288" t="n">
        <f aca="false">H83+(H$98-H$48)/50</f>
        <v>0.772</v>
      </c>
      <c r="I84" s="288" t="n">
        <f aca="false">I83+(I$98-I$48)/50</f>
        <v>0.772</v>
      </c>
    </row>
    <row r="85" customFormat="false" ht="13.8" hidden="false" customHeight="false" outlineLevel="0" collapsed="false">
      <c r="B85" s="287" t="n">
        <v>2087</v>
      </c>
      <c r="C85" s="291" t="n">
        <v>0.05</v>
      </c>
      <c r="D85" s="288" t="e">
        <f aca="false">IF('Emissions CO2'!$F$6="Mallorca",F85,IF('Emissions CO2'!$F$6="Menorca",G85,IF('Emissions CO2'!$F$6="Eivissa",H85,I85)))</f>
        <v>#N/A</v>
      </c>
      <c r="F85" s="288" t="n">
        <f aca="false">F84+(F$98-F$48)/50</f>
        <v>0.774</v>
      </c>
      <c r="G85" s="288" t="n">
        <f aca="false">G84+(G$98-G$48)/50</f>
        <v>0.774</v>
      </c>
      <c r="H85" s="288" t="n">
        <f aca="false">H84+(H$98-H$48)/50</f>
        <v>0.774</v>
      </c>
      <c r="I85" s="288" t="n">
        <f aca="false">I84+(I$98-I$48)/50</f>
        <v>0.774</v>
      </c>
    </row>
    <row r="86" customFormat="false" ht="13.8" hidden="false" customHeight="false" outlineLevel="0" collapsed="false">
      <c r="B86" s="287" t="n">
        <v>2088</v>
      </c>
      <c r="C86" s="291" t="n">
        <v>0.05</v>
      </c>
      <c r="D86" s="288" t="e">
        <f aca="false">IF('Emissions CO2'!$F$6="Mallorca",F86,IF('Emissions CO2'!$F$6="Menorca",G86,IF('Emissions CO2'!$F$6="Eivissa",H86,I86)))</f>
        <v>#N/A</v>
      </c>
      <c r="F86" s="288" t="n">
        <f aca="false">F85+(F$98-F$48)/50</f>
        <v>0.776</v>
      </c>
      <c r="G86" s="288" t="n">
        <f aca="false">G85+(G$98-G$48)/50</f>
        <v>0.776</v>
      </c>
      <c r="H86" s="288" t="n">
        <f aca="false">H85+(H$98-H$48)/50</f>
        <v>0.776</v>
      </c>
      <c r="I86" s="288" t="n">
        <f aca="false">I85+(I$98-I$48)/50</f>
        <v>0.776</v>
      </c>
    </row>
    <row r="87" customFormat="false" ht="13.8" hidden="false" customHeight="false" outlineLevel="0" collapsed="false">
      <c r="B87" s="287" t="n">
        <v>2089</v>
      </c>
      <c r="C87" s="291" t="n">
        <v>0.05</v>
      </c>
      <c r="D87" s="288" t="e">
        <f aca="false">IF('Emissions CO2'!$F$6="Mallorca",F87,IF('Emissions CO2'!$F$6="Menorca",G87,IF('Emissions CO2'!$F$6="Eivissa",H87,I87)))</f>
        <v>#N/A</v>
      </c>
      <c r="F87" s="288" t="n">
        <f aca="false">F86+(F$98-F$48)/50</f>
        <v>0.778</v>
      </c>
      <c r="G87" s="288" t="n">
        <f aca="false">G86+(G$98-G$48)/50</f>
        <v>0.778</v>
      </c>
      <c r="H87" s="288" t="n">
        <f aca="false">H86+(H$98-H$48)/50</f>
        <v>0.778</v>
      </c>
      <c r="I87" s="288" t="n">
        <f aca="false">I86+(I$98-I$48)/50</f>
        <v>0.778</v>
      </c>
    </row>
    <row r="88" customFormat="false" ht="13.8" hidden="false" customHeight="false" outlineLevel="0" collapsed="false">
      <c r="B88" s="287" t="n">
        <v>2090</v>
      </c>
      <c r="C88" s="291" t="n">
        <v>0.05</v>
      </c>
      <c r="D88" s="288" t="e">
        <f aca="false">IF('Emissions CO2'!$F$6="Mallorca",F88,IF('Emissions CO2'!$F$6="Menorca",G88,IF('Emissions CO2'!$F$6="Eivissa",H88,I88)))</f>
        <v>#N/A</v>
      </c>
      <c r="F88" s="288" t="n">
        <f aca="false">F87+(F$98-F$48)/50</f>
        <v>0.78</v>
      </c>
      <c r="G88" s="288" t="n">
        <f aca="false">G87+(G$98-G$48)/50</f>
        <v>0.78</v>
      </c>
      <c r="H88" s="288" t="n">
        <f aca="false">H87+(H$98-H$48)/50</f>
        <v>0.78</v>
      </c>
      <c r="I88" s="288" t="n">
        <f aca="false">I87+(I$98-I$48)/50</f>
        <v>0.78</v>
      </c>
    </row>
    <row r="89" customFormat="false" ht="13.8" hidden="false" customHeight="false" outlineLevel="0" collapsed="false">
      <c r="B89" s="287" t="n">
        <v>2091</v>
      </c>
      <c r="C89" s="291" t="n">
        <v>0.05</v>
      </c>
      <c r="D89" s="288" t="e">
        <f aca="false">IF('Emissions CO2'!$F$6="Mallorca",F89,IF('Emissions CO2'!$F$6="Menorca",G89,IF('Emissions CO2'!$F$6="Eivissa",H89,I89)))</f>
        <v>#N/A</v>
      </c>
      <c r="F89" s="288" t="n">
        <f aca="false">F88+(F$98-F$48)/50</f>
        <v>0.782</v>
      </c>
      <c r="G89" s="288" t="n">
        <f aca="false">G88+(G$98-G$48)/50</f>
        <v>0.782</v>
      </c>
      <c r="H89" s="288" t="n">
        <f aca="false">H88+(H$98-H$48)/50</f>
        <v>0.782</v>
      </c>
      <c r="I89" s="288" t="n">
        <f aca="false">I88+(I$98-I$48)/50</f>
        <v>0.782</v>
      </c>
    </row>
    <row r="90" customFormat="false" ht="13.8" hidden="false" customHeight="false" outlineLevel="0" collapsed="false">
      <c r="B90" s="287" t="n">
        <v>2092</v>
      </c>
      <c r="C90" s="291" t="n">
        <v>0.05</v>
      </c>
      <c r="D90" s="288" t="e">
        <f aca="false">IF('Emissions CO2'!$F$6="Mallorca",F90,IF('Emissions CO2'!$F$6="Menorca",G90,IF('Emissions CO2'!$F$6="Eivissa",H90,I90)))</f>
        <v>#N/A</v>
      </c>
      <c r="F90" s="288" t="n">
        <f aca="false">F89+(F$98-F$48)/50</f>
        <v>0.784</v>
      </c>
      <c r="G90" s="288" t="n">
        <f aca="false">G89+(G$98-G$48)/50</f>
        <v>0.784</v>
      </c>
      <c r="H90" s="288" t="n">
        <f aca="false">H89+(H$98-H$48)/50</f>
        <v>0.784</v>
      </c>
      <c r="I90" s="288" t="n">
        <f aca="false">I89+(I$98-I$48)/50</f>
        <v>0.784</v>
      </c>
    </row>
    <row r="91" customFormat="false" ht="13.8" hidden="false" customHeight="false" outlineLevel="0" collapsed="false">
      <c r="B91" s="287" t="n">
        <v>2093</v>
      </c>
      <c r="C91" s="291" t="n">
        <v>0.05</v>
      </c>
      <c r="D91" s="288" t="e">
        <f aca="false">IF('Emissions CO2'!$F$6="Mallorca",F91,IF('Emissions CO2'!$F$6="Menorca",G91,IF('Emissions CO2'!$F$6="Eivissa",H91,I91)))</f>
        <v>#N/A</v>
      </c>
      <c r="F91" s="288" t="n">
        <f aca="false">F90+(F$98-F$48)/50</f>
        <v>0.786</v>
      </c>
      <c r="G91" s="288" t="n">
        <f aca="false">G90+(G$98-G$48)/50</f>
        <v>0.786</v>
      </c>
      <c r="H91" s="288" t="n">
        <f aca="false">H90+(H$98-H$48)/50</f>
        <v>0.786</v>
      </c>
      <c r="I91" s="288" t="n">
        <f aca="false">I90+(I$98-I$48)/50</f>
        <v>0.786</v>
      </c>
    </row>
    <row r="92" customFormat="false" ht="13.8" hidden="false" customHeight="false" outlineLevel="0" collapsed="false">
      <c r="B92" s="287" t="n">
        <v>2094</v>
      </c>
      <c r="C92" s="291" t="n">
        <v>0.05</v>
      </c>
      <c r="D92" s="288" t="e">
        <f aca="false">IF('Emissions CO2'!$F$6="Mallorca",F92,IF('Emissions CO2'!$F$6="Menorca",G92,IF('Emissions CO2'!$F$6="Eivissa",H92,I92)))</f>
        <v>#N/A</v>
      </c>
      <c r="F92" s="288" t="n">
        <f aca="false">F91+(F$98-F$48)/50</f>
        <v>0.788</v>
      </c>
      <c r="G92" s="288" t="n">
        <f aca="false">G91+(G$98-G$48)/50</f>
        <v>0.788</v>
      </c>
      <c r="H92" s="288" t="n">
        <f aca="false">H91+(H$98-H$48)/50</f>
        <v>0.788</v>
      </c>
      <c r="I92" s="288" t="n">
        <f aca="false">I91+(I$98-I$48)/50</f>
        <v>0.788</v>
      </c>
    </row>
    <row r="93" customFormat="false" ht="13.8" hidden="false" customHeight="false" outlineLevel="0" collapsed="false">
      <c r="B93" s="287" t="n">
        <v>2095</v>
      </c>
      <c r="C93" s="291" t="n">
        <v>0.05</v>
      </c>
      <c r="D93" s="288" t="e">
        <f aca="false">IF('Emissions CO2'!$F$6="Mallorca",F93,IF('Emissions CO2'!$F$6="Menorca",G93,IF('Emissions CO2'!$F$6="Eivissa",H93,I93)))</f>
        <v>#N/A</v>
      </c>
      <c r="F93" s="288" t="n">
        <f aca="false">F92+(F$98-F$48)/50</f>
        <v>0.79</v>
      </c>
      <c r="G93" s="288" t="n">
        <f aca="false">G92+(G$98-G$48)/50</f>
        <v>0.79</v>
      </c>
      <c r="H93" s="288" t="n">
        <f aca="false">H92+(H$98-H$48)/50</f>
        <v>0.79</v>
      </c>
      <c r="I93" s="288" t="n">
        <f aca="false">I92+(I$98-I$48)/50</f>
        <v>0.79</v>
      </c>
    </row>
    <row r="94" customFormat="false" ht="13.8" hidden="false" customHeight="false" outlineLevel="0" collapsed="false">
      <c r="B94" s="287" t="n">
        <v>2096</v>
      </c>
      <c r="C94" s="291" t="n">
        <v>0.05</v>
      </c>
      <c r="D94" s="288" t="e">
        <f aca="false">IF('Emissions CO2'!$F$6="Mallorca",F94,IF('Emissions CO2'!$F$6="Menorca",G94,IF('Emissions CO2'!$F$6="Eivissa",H94,I94)))</f>
        <v>#N/A</v>
      </c>
      <c r="F94" s="288" t="n">
        <f aca="false">F93+(F$98-F$48)/50</f>
        <v>0.792</v>
      </c>
      <c r="G94" s="288" t="n">
        <f aca="false">G93+(G$98-G$48)/50</f>
        <v>0.792</v>
      </c>
      <c r="H94" s="288" t="n">
        <f aca="false">H93+(H$98-H$48)/50</f>
        <v>0.792</v>
      </c>
      <c r="I94" s="288" t="n">
        <f aca="false">I93+(I$98-I$48)/50</f>
        <v>0.792</v>
      </c>
    </row>
    <row r="95" customFormat="false" ht="13.8" hidden="false" customHeight="false" outlineLevel="0" collapsed="false">
      <c r="B95" s="287" t="n">
        <v>2097</v>
      </c>
      <c r="C95" s="291" t="n">
        <v>0.05</v>
      </c>
      <c r="D95" s="288" t="e">
        <f aca="false">IF('Emissions CO2'!$F$6="Mallorca",F95,IF('Emissions CO2'!$F$6="Menorca",G95,IF('Emissions CO2'!$F$6="Eivissa",H95,I95)))</f>
        <v>#N/A</v>
      </c>
      <c r="F95" s="288" t="n">
        <f aca="false">F94+(F$98-F$48)/50</f>
        <v>0.794</v>
      </c>
      <c r="G95" s="288" t="n">
        <f aca="false">G94+(G$98-G$48)/50</f>
        <v>0.794</v>
      </c>
      <c r="H95" s="288" t="n">
        <f aca="false">H94+(H$98-H$48)/50</f>
        <v>0.794</v>
      </c>
      <c r="I95" s="288" t="n">
        <f aca="false">I94+(I$98-I$48)/50</f>
        <v>0.794</v>
      </c>
    </row>
    <row r="96" customFormat="false" ht="13.8" hidden="false" customHeight="false" outlineLevel="0" collapsed="false">
      <c r="B96" s="287" t="n">
        <v>2098</v>
      </c>
      <c r="C96" s="291" t="n">
        <v>0.05</v>
      </c>
      <c r="D96" s="288" t="e">
        <f aca="false">IF('Emissions CO2'!$F$6="Mallorca",F96,IF('Emissions CO2'!$F$6="Menorca",G96,IF('Emissions CO2'!$F$6="Eivissa",H96,I96)))</f>
        <v>#N/A</v>
      </c>
      <c r="F96" s="288" t="n">
        <f aca="false">F95+(F$98-F$48)/50</f>
        <v>0.796</v>
      </c>
      <c r="G96" s="288" t="n">
        <f aca="false">G95+(G$98-G$48)/50</f>
        <v>0.796</v>
      </c>
      <c r="H96" s="288" t="n">
        <f aca="false">H95+(H$98-H$48)/50</f>
        <v>0.796</v>
      </c>
      <c r="I96" s="288" t="n">
        <f aca="false">I95+(I$98-I$48)/50</f>
        <v>0.796</v>
      </c>
    </row>
    <row r="97" customFormat="false" ht="13.8" hidden="false" customHeight="false" outlineLevel="0" collapsed="false">
      <c r="B97" s="287" t="n">
        <v>2099</v>
      </c>
      <c r="C97" s="291" t="n">
        <v>0.05</v>
      </c>
      <c r="D97" s="288" t="e">
        <f aca="false">IF('Emissions CO2'!$F$6="Mallorca",F97,IF('Emissions CO2'!$F$6="Menorca",G97,IF('Emissions CO2'!$F$6="Eivissa",H97,I97)))</f>
        <v>#N/A</v>
      </c>
      <c r="F97" s="288" t="n">
        <f aca="false">F96+(F$98-F$48)/50</f>
        <v>0.798</v>
      </c>
      <c r="G97" s="288" t="n">
        <f aca="false">G96+(G$98-G$48)/50</f>
        <v>0.798</v>
      </c>
      <c r="H97" s="288" t="n">
        <f aca="false">H96+(H$98-H$48)/50</f>
        <v>0.798</v>
      </c>
      <c r="I97" s="288" t="n">
        <f aca="false">I96+(I$98-I$48)/50</f>
        <v>0.798</v>
      </c>
    </row>
    <row r="98" customFormat="false" ht="13.8" hidden="false" customHeight="false" outlineLevel="0" collapsed="false">
      <c r="B98" s="287" t="n">
        <v>2100</v>
      </c>
      <c r="C98" s="291" t="n">
        <v>0.05</v>
      </c>
      <c r="D98" s="288" t="e">
        <f aca="false">IF('Emissions CO2'!$F$6="Mallorca",F98,IF('Emissions CO2'!$F$6="Menorca",G98,IF('Emissions CO2'!$F$6="Eivissa",H98,I98)))</f>
        <v>#N/A</v>
      </c>
      <c r="F98" s="289" t="n">
        <v>0.8</v>
      </c>
      <c r="G98" s="289" t="n">
        <v>0.8</v>
      </c>
      <c r="H98" s="289" t="n">
        <v>0.8</v>
      </c>
      <c r="I98" s="289" t="n">
        <v>0.8</v>
      </c>
    </row>
    <row r="99" customFormat="false" ht="13.8" hidden="false" customHeight="false" outlineLevel="0" collapsed="false">
      <c r="B99" s="287" t="n">
        <v>2101</v>
      </c>
      <c r="C99" s="291" t="n">
        <v>0.05</v>
      </c>
      <c r="D99" s="288" t="e">
        <f aca="false">IF('Emissions CO2'!$F$6="Mallorca",F99,IF('Emissions CO2'!$F$6="Menorca",G99,IF('Emissions CO2'!$F$6="Eivissa",H99,I99)))</f>
        <v>#N/A</v>
      </c>
      <c r="F99" s="288" t="n">
        <f aca="false">F98+(F$102-F$98)/4</f>
        <v>0.8</v>
      </c>
      <c r="G99" s="288" t="n">
        <f aca="false">G98+(G$102-G$98)/4</f>
        <v>0.8</v>
      </c>
      <c r="H99" s="288" t="n">
        <f aca="false">H98+(H$102-H$98)/4</f>
        <v>0.8</v>
      </c>
      <c r="I99" s="288" t="n">
        <f aca="false">I98+(I$102-I$98)/4</f>
        <v>0.8</v>
      </c>
    </row>
    <row r="100" customFormat="false" ht="13.8" hidden="false" customHeight="false" outlineLevel="0" collapsed="false">
      <c r="B100" s="287" t="n">
        <v>2102</v>
      </c>
      <c r="C100" s="291" t="n">
        <v>0.05</v>
      </c>
      <c r="D100" s="288" t="e">
        <f aca="false">IF('Emissions CO2'!$F$6="Mallorca",F100,IF('Emissions CO2'!$F$6="Menorca",G100,IF('Emissions CO2'!$F$6="Eivissa",H100,I100)))</f>
        <v>#N/A</v>
      </c>
      <c r="F100" s="288" t="n">
        <f aca="false">F99+(F$102-F$98)/4</f>
        <v>0.8</v>
      </c>
      <c r="G100" s="288" t="n">
        <f aca="false">G99+(G$102-G$98)/4</f>
        <v>0.8</v>
      </c>
      <c r="H100" s="288" t="n">
        <f aca="false">H99+(H$102-H$98)/4</f>
        <v>0.8</v>
      </c>
      <c r="I100" s="288" t="n">
        <f aca="false">I99+(I$102-I$98)/4</f>
        <v>0.8</v>
      </c>
    </row>
    <row r="101" customFormat="false" ht="13.8" hidden="false" customHeight="false" outlineLevel="0" collapsed="false">
      <c r="B101" s="287" t="n">
        <v>2103</v>
      </c>
      <c r="C101" s="291" t="n">
        <v>0.05</v>
      </c>
      <c r="D101" s="288" t="e">
        <f aca="false">IF('Emissions CO2'!$F$6="Mallorca",F101,IF('Emissions CO2'!$F$6="Menorca",G101,IF('Emissions CO2'!$F$6="Eivissa",H101,I101)))</f>
        <v>#N/A</v>
      </c>
      <c r="F101" s="288" t="n">
        <f aca="false">F100+(F$102-F$98)/4</f>
        <v>0.8</v>
      </c>
      <c r="G101" s="288" t="n">
        <f aca="false">G100+(G$102-G$98)/4</f>
        <v>0.8</v>
      </c>
      <c r="H101" s="288" t="n">
        <f aca="false">H100+(H$102-H$98)/4</f>
        <v>0.8</v>
      </c>
      <c r="I101" s="288" t="n">
        <f aca="false">I100+(I$102-I$98)/4</f>
        <v>0.8</v>
      </c>
    </row>
    <row r="102" customFormat="false" ht="13.8" hidden="false" customHeight="false" outlineLevel="0" collapsed="false">
      <c r="B102" s="287" t="n">
        <v>2104</v>
      </c>
      <c r="C102" s="291" t="n">
        <v>0.05</v>
      </c>
      <c r="D102" s="288" t="e">
        <f aca="false">IF('Emissions CO2'!$F$6="Mallorca",F102,IF('Emissions CO2'!$F$6="Menorca",G102,IF('Emissions CO2'!$F$6="Eivissa",H102,I102)))</f>
        <v>#N/A</v>
      </c>
      <c r="F102" s="289" t="n">
        <v>0.8</v>
      </c>
      <c r="G102" s="289" t="n">
        <v>0.8</v>
      </c>
      <c r="H102" s="289" t="n">
        <v>0.8</v>
      </c>
      <c r="I102" s="289" t="n">
        <v>0.8</v>
      </c>
    </row>
  </sheetData>
  <sheetProtection sheet="true" password="e929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>carlos ferrer florit</dc:creator>
  <dc:description/>
  <dc:language>es-ES</dc:language>
  <cp:lastModifiedBy/>
  <dcterms:modified xsi:type="dcterms:W3CDTF">2020-12-14T11:44:34Z</dcterms:modified>
  <cp:revision>357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